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F\BFI\BUDŻET 2022\sprawozdanie roczne za 2021 ostateczna wersja\"/>
    </mc:Choice>
  </mc:AlternateContent>
  <xr:revisionPtr revIDLastSave="0" documentId="13_ncr:1_{99B12F91-EB2D-4BBD-A26B-9793019E257A}" xr6:coauthVersionLast="36" xr6:coauthVersionMax="47" xr10:uidLastSave="{00000000-0000-0000-0000-000000000000}"/>
  <bookViews>
    <workbookView xWindow="-120" yWindow="-120" windowWidth="29040" windowHeight="15840" activeTab="5" xr2:uid="{AB320C49-A24E-474A-8C9A-0FB08A8A1B42}"/>
  </bookViews>
  <sheets>
    <sheet name="dochody" sheetId="8" r:id="rId1"/>
    <sheet name="wydatki" sheetId="9" r:id="rId2"/>
    <sheet name="adm.rząd.doch. " sheetId="5" r:id="rId3"/>
    <sheet name=" adm.rzad.wyd." sheetId="6" r:id="rId4"/>
    <sheet name="ustawy szczegół." sheetId="4" r:id="rId5"/>
    <sheet name="dotacjena podst. porozumień" sheetId="2" r:id="rId6"/>
    <sheet name="dotacje udzielone innym jst2021" sheetId="3" r:id="rId7"/>
    <sheet name="przych i rozch." sheetId="10" r:id="rId8"/>
    <sheet name="wyodrębniony rachunek" sheetId="7" r:id="rId9"/>
  </sheets>
  <definedNames>
    <definedName name="nowwa">#REF!</definedName>
    <definedName name="Obszar_1093uku" localSheetId="3">#REF!</definedName>
    <definedName name="Obszar_1093uku" localSheetId="2">#REF!</definedName>
    <definedName name="Obszar_1093uku" localSheetId="7">#REF!</definedName>
    <definedName name="Obszar_1093uku" localSheetId="4">#REF!</definedName>
    <definedName name="Obszar_1093uku" localSheetId="1">#REF!</definedName>
    <definedName name="Obszar_1093uku" localSheetId="8">#REF!</definedName>
    <definedName name="Obszar_1093uku">#REF!</definedName>
    <definedName name="_xlnm.Print_Area" localSheetId="3">' adm.rzad.wyd.'!$A$1:$O$126</definedName>
    <definedName name="_xlnm.Print_Area" localSheetId="2">'adm.rząd.doch. '!$A$1:$H$52</definedName>
    <definedName name="_xlnm.Print_Area" localSheetId="0">dochody!$A$1:$H$727</definedName>
    <definedName name="_xlnm.Print_Area" localSheetId="6">'dotacje udzielone innym jst2021'!$A$1:$I$130</definedName>
    <definedName name="_xlnm.Print_Area" localSheetId="5">'dotacjena podst. porozumień'!$A$1:$L$48</definedName>
    <definedName name="_xlnm.Print_Area" localSheetId="7">'przych i rozch.'!$A$1:$D$26</definedName>
    <definedName name="_xlnm.Print_Area" localSheetId="4">'ustawy szczegół.'!$A$1:$L$70</definedName>
    <definedName name="_xlnm.Print_Area" localSheetId="1">wydatki!$A$1:$I$2587</definedName>
    <definedName name="_xlnm.Print_Area" localSheetId="8">'wyodrębniony rachunek'!$A$1:$H$22</definedName>
    <definedName name="_xlnm.Print_Titles" localSheetId="3">' adm.rzad.wyd.'!$1:$6</definedName>
    <definedName name="_xlnm.Print_Titles" localSheetId="0">dochody!$7:$9</definedName>
    <definedName name="_xlnm.Print_Titles" localSheetId="6">'dotacje udzielone innym jst2021'!$4:$6</definedName>
    <definedName name="_xlnm.Print_Titles" localSheetId="5">'dotacjena podst. porozumień'!$4:$6</definedName>
    <definedName name="_xlnm.Print_Titles" localSheetId="4">'ustawy szczegół.'!$4:$6</definedName>
    <definedName name="_xlnm.Print_Titles" localSheetId="1">wydatki!$4:$5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4" l="1"/>
  <c r="J70" i="4"/>
  <c r="I70" i="4"/>
  <c r="H70" i="4"/>
  <c r="K16" i="4"/>
  <c r="J16" i="4"/>
  <c r="I16" i="4"/>
  <c r="H16" i="4"/>
  <c r="K23" i="4"/>
  <c r="I23" i="4"/>
  <c r="H23" i="4"/>
  <c r="K17" i="4"/>
  <c r="J17" i="4"/>
  <c r="I17" i="4"/>
  <c r="H17" i="4"/>
  <c r="K33" i="4"/>
  <c r="J33" i="4"/>
  <c r="I33" i="4"/>
  <c r="H33" i="4"/>
  <c r="F46" i="4"/>
  <c r="K46" i="4"/>
  <c r="J46" i="4"/>
  <c r="I46" i="4"/>
  <c r="H46" i="4"/>
  <c r="I21" i="4"/>
  <c r="J21" i="4"/>
  <c r="K21" i="4"/>
  <c r="H21" i="4"/>
  <c r="J23" i="4"/>
  <c r="G173" i="8" l="1"/>
  <c r="F173" i="8"/>
  <c r="E173" i="8"/>
  <c r="J331" i="10"/>
  <c r="C26" i="10"/>
  <c r="B26" i="10"/>
  <c r="D25" i="10"/>
  <c r="D24" i="10"/>
  <c r="D23" i="10"/>
  <c r="D22" i="10"/>
  <c r="D21" i="10"/>
  <c r="C14" i="10"/>
  <c r="D14" i="10" s="1"/>
  <c r="B14" i="10"/>
  <c r="D13" i="10"/>
  <c r="D12" i="10"/>
  <c r="D11" i="10"/>
  <c r="D9" i="10"/>
  <c r="D8" i="10"/>
  <c r="I2582" i="9"/>
  <c r="H2582" i="9"/>
  <c r="G2582" i="9"/>
  <c r="F2582" i="9"/>
  <c r="E2582" i="9"/>
  <c r="H2581" i="9"/>
  <c r="G2581" i="9"/>
  <c r="F2581" i="9"/>
  <c r="E2581" i="9"/>
  <c r="I2570" i="9"/>
  <c r="H2569" i="9"/>
  <c r="G2569" i="9"/>
  <c r="G2568" i="9" s="1"/>
  <c r="F2569" i="9"/>
  <c r="F2568" i="9" s="1"/>
  <c r="E2569" i="9"/>
  <c r="E2568" i="9" s="1"/>
  <c r="E2563" i="9" s="1"/>
  <c r="I2566" i="9"/>
  <c r="H2565" i="9"/>
  <c r="G2565" i="9"/>
  <c r="G2564" i="9" s="1"/>
  <c r="F2565" i="9"/>
  <c r="F2564" i="9" s="1"/>
  <c r="E2565" i="9"/>
  <c r="E2564" i="9" s="1"/>
  <c r="H2564" i="9"/>
  <c r="I2562" i="9"/>
  <c r="H2561" i="9"/>
  <c r="H2560" i="9" s="1"/>
  <c r="G2561" i="9"/>
  <c r="G2560" i="9" s="1"/>
  <c r="F2561" i="9"/>
  <c r="F2560" i="9" s="1"/>
  <c r="E2561" i="9"/>
  <c r="E2560" i="9" s="1"/>
  <c r="I2558" i="9"/>
  <c r="I2557" i="9"/>
  <c r="H2556" i="9"/>
  <c r="G2556" i="9"/>
  <c r="F2556" i="9"/>
  <c r="E2556" i="9"/>
  <c r="I2554" i="9"/>
  <c r="I2553" i="9"/>
  <c r="I2552" i="9"/>
  <c r="E2552" i="9"/>
  <c r="E2551" i="9" s="1"/>
  <c r="H2551" i="9"/>
  <c r="G2551" i="9"/>
  <c r="F2551" i="9"/>
  <c r="I2549" i="9"/>
  <c r="I2548" i="9"/>
  <c r="H2547" i="9"/>
  <c r="G2547" i="9"/>
  <c r="F2547" i="9"/>
  <c r="E2547" i="9"/>
  <c r="I2545" i="9"/>
  <c r="I2544" i="9"/>
  <c r="H2543" i="9"/>
  <c r="I2543" i="9" s="1"/>
  <c r="G2543" i="9"/>
  <c r="F2543" i="9"/>
  <c r="F2542" i="9" s="1"/>
  <c r="F2541" i="9" s="1"/>
  <c r="E2543" i="9"/>
  <c r="E2542" i="9"/>
  <c r="E2541" i="9" s="1"/>
  <c r="E2540" i="9" s="1"/>
  <c r="I2539" i="9"/>
  <c r="E2539" i="9"/>
  <c r="E2538" i="9" s="1"/>
  <c r="E2537" i="9" s="1"/>
  <c r="H2538" i="9"/>
  <c r="G2538" i="9"/>
  <c r="F2538" i="9"/>
  <c r="F2537" i="9" s="1"/>
  <c r="G2537" i="9"/>
  <c r="G2536" i="9" s="1"/>
  <c r="F2536" i="9"/>
  <c r="E2536" i="9"/>
  <c r="I2535" i="9"/>
  <c r="E2535" i="9"/>
  <c r="E2534" i="9" s="1"/>
  <c r="E2533" i="9" s="1"/>
  <c r="E2528" i="9" s="1"/>
  <c r="H2534" i="9"/>
  <c r="G2534" i="9"/>
  <c r="G2533" i="9" s="1"/>
  <c r="G2528" i="9" s="1"/>
  <c r="F2534" i="9"/>
  <c r="F2533" i="9" s="1"/>
  <c r="F2528" i="9" s="1"/>
  <c r="I2531" i="9"/>
  <c r="H2530" i="9"/>
  <c r="G2530" i="9"/>
  <c r="G2529" i="9" s="1"/>
  <c r="F2530" i="9"/>
  <c r="F2529" i="9" s="1"/>
  <c r="E2530" i="9"/>
  <c r="E2529" i="9"/>
  <c r="I2526" i="9"/>
  <c r="I2525" i="9"/>
  <c r="H2525" i="9"/>
  <c r="G2525" i="9"/>
  <c r="F2525" i="9"/>
  <c r="E2525" i="9"/>
  <c r="I2523" i="9"/>
  <c r="I2522" i="9"/>
  <c r="H2521" i="9"/>
  <c r="G2521" i="9"/>
  <c r="F2521" i="9"/>
  <c r="E2521" i="9"/>
  <c r="I2519" i="9"/>
  <c r="I2518" i="9"/>
  <c r="H2517" i="9"/>
  <c r="G2517" i="9"/>
  <c r="F2517" i="9"/>
  <c r="E2517" i="9"/>
  <c r="E2516" i="9" s="1"/>
  <c r="F2516" i="9"/>
  <c r="F2515" i="9" s="1"/>
  <c r="F2514" i="9" s="1"/>
  <c r="E2515" i="9"/>
  <c r="E2514" i="9" s="1"/>
  <c r="G2513" i="9"/>
  <c r="I2513" i="9" s="1"/>
  <c r="G2512" i="9"/>
  <c r="I2512" i="9" s="1"/>
  <c r="I2511" i="9"/>
  <c r="G2511" i="9"/>
  <c r="G2510" i="9" s="1"/>
  <c r="H2510" i="9"/>
  <c r="I2510" i="9" s="1"/>
  <c r="F2510" i="9"/>
  <c r="E2510" i="9"/>
  <c r="I2508" i="9"/>
  <c r="I2507" i="9"/>
  <c r="H2506" i="9"/>
  <c r="I2506" i="9" s="1"/>
  <c r="G2506" i="9"/>
  <c r="F2506" i="9"/>
  <c r="E2506" i="9"/>
  <c r="I2504" i="9"/>
  <c r="I2503" i="9"/>
  <c r="I2502" i="9"/>
  <c r="I2501" i="9"/>
  <c r="I2499" i="9"/>
  <c r="I2498" i="9"/>
  <c r="I2497" i="9"/>
  <c r="I2496" i="9"/>
  <c r="I2495" i="9"/>
  <c r="G2495" i="9"/>
  <c r="I2494" i="9"/>
  <c r="I2493" i="9"/>
  <c r="I2492" i="9"/>
  <c r="I2491" i="9"/>
  <c r="I2490" i="9"/>
  <c r="I2489" i="9"/>
  <c r="I2488" i="9"/>
  <c r="H2487" i="9"/>
  <c r="I2487" i="9" s="1"/>
  <c r="G2487" i="9"/>
  <c r="F2487" i="9"/>
  <c r="E2487" i="9"/>
  <c r="I2485" i="9"/>
  <c r="I2484" i="9"/>
  <c r="I2483" i="9"/>
  <c r="I2482" i="9"/>
  <c r="I2481" i="9"/>
  <c r="I2480" i="9"/>
  <c r="H2479" i="9"/>
  <c r="G2479" i="9"/>
  <c r="G2478" i="9" s="1"/>
  <c r="G2477" i="9" s="1"/>
  <c r="G2476" i="9" s="1"/>
  <c r="F2479" i="9"/>
  <c r="E2479" i="9"/>
  <c r="I2475" i="9"/>
  <c r="H2474" i="9"/>
  <c r="G2474" i="9"/>
  <c r="G2473" i="9" s="1"/>
  <c r="G2472" i="9" s="1"/>
  <c r="F2474" i="9"/>
  <c r="F2473" i="9" s="1"/>
  <c r="F2472" i="9" s="1"/>
  <c r="E2474" i="9"/>
  <c r="E2473" i="9"/>
  <c r="E2472" i="9" s="1"/>
  <c r="I2470" i="9"/>
  <c r="H2466" i="9"/>
  <c r="G2466" i="9"/>
  <c r="I2466" i="9" s="1"/>
  <c r="F2466" i="9"/>
  <c r="E2466" i="9"/>
  <c r="I2464" i="9"/>
  <c r="J2463" i="9"/>
  <c r="I2463" i="9"/>
  <c r="E2463" i="9"/>
  <c r="E2458" i="9" s="1"/>
  <c r="E2457" i="9" s="1"/>
  <c r="I2462" i="9"/>
  <c r="I2461" i="9"/>
  <c r="I2460" i="9"/>
  <c r="I2459" i="9"/>
  <c r="H2458" i="9"/>
  <c r="G2458" i="9"/>
  <c r="G2457" i="9" s="1"/>
  <c r="F2458" i="9"/>
  <c r="F2457" i="9" s="1"/>
  <c r="I2455" i="9"/>
  <c r="I2454" i="9"/>
  <c r="I2453" i="9"/>
  <c r="I2452" i="9"/>
  <c r="I2451" i="9"/>
  <c r="I2450" i="9"/>
  <c r="I2449" i="9"/>
  <c r="I2448" i="9"/>
  <c r="I2447" i="9"/>
  <c r="I2446" i="9"/>
  <c r="I2445" i="9"/>
  <c r="I2444" i="9"/>
  <c r="I2443" i="9"/>
  <c r="I2442" i="9"/>
  <c r="I2441" i="9"/>
  <c r="I2440" i="9"/>
  <c r="I2439" i="9"/>
  <c r="I2438" i="9"/>
  <c r="I2437" i="9"/>
  <c r="I2436" i="9"/>
  <c r="H2435" i="9"/>
  <c r="I2435" i="9" s="1"/>
  <c r="G2435" i="9"/>
  <c r="F2435" i="9"/>
  <c r="E2435" i="9"/>
  <c r="I2433" i="9"/>
  <c r="I2432" i="9"/>
  <c r="I2431" i="9"/>
  <c r="H2431" i="9"/>
  <c r="G2431" i="9"/>
  <c r="F2431" i="9"/>
  <c r="E2431" i="9"/>
  <c r="I2429" i="9"/>
  <c r="I2428" i="9"/>
  <c r="H2427" i="9"/>
  <c r="G2427" i="9"/>
  <c r="F2427" i="9"/>
  <c r="E2427" i="9"/>
  <c r="I2425" i="9"/>
  <c r="I2424" i="9"/>
  <c r="I2423" i="9"/>
  <c r="H2422" i="9"/>
  <c r="G2422" i="9"/>
  <c r="F2422" i="9"/>
  <c r="F2421" i="9" s="1"/>
  <c r="F2420" i="9" s="1"/>
  <c r="F2419" i="9" s="1"/>
  <c r="E2422" i="9"/>
  <c r="G2421" i="9"/>
  <c r="G2420" i="9" s="1"/>
  <c r="G2419" i="9" s="1"/>
  <c r="I2418" i="9"/>
  <c r="H2417" i="9"/>
  <c r="H2416" i="9" s="1"/>
  <c r="I2416" i="9" s="1"/>
  <c r="G2417" i="9"/>
  <c r="G2416" i="9" s="1"/>
  <c r="F2417" i="9"/>
  <c r="E2417" i="9"/>
  <c r="E2416" i="9" s="1"/>
  <c r="F2416" i="9"/>
  <c r="I2414" i="9"/>
  <c r="I2413" i="9"/>
  <c r="F2413" i="9"/>
  <c r="E2413" i="9"/>
  <c r="I2412" i="9"/>
  <c r="I2411" i="9"/>
  <c r="I2410" i="9"/>
  <c r="I2409" i="9"/>
  <c r="H2408" i="9"/>
  <c r="G2408" i="9"/>
  <c r="F2408" i="9"/>
  <c r="E2408" i="9"/>
  <c r="H2405" i="9"/>
  <c r="H2404" i="9" s="1"/>
  <c r="H2403" i="9" s="1"/>
  <c r="G2405" i="9"/>
  <c r="F2405" i="9"/>
  <c r="E2405" i="9"/>
  <c r="G2404" i="9"/>
  <c r="G2403" i="9" s="1"/>
  <c r="G2402" i="9" s="1"/>
  <c r="F2404" i="9"/>
  <c r="E2404" i="9"/>
  <c r="I2400" i="9"/>
  <c r="I2399" i="9"/>
  <c r="H2398" i="9"/>
  <c r="G2398" i="9"/>
  <c r="F2398" i="9"/>
  <c r="F2397" i="9" s="1"/>
  <c r="E2398" i="9"/>
  <c r="G2397" i="9"/>
  <c r="E2397" i="9"/>
  <c r="I2395" i="9"/>
  <c r="I2394" i="9"/>
  <c r="I2393" i="9"/>
  <c r="H2392" i="9"/>
  <c r="G2392" i="9"/>
  <c r="G2391" i="9" s="1"/>
  <c r="F2392" i="9"/>
  <c r="F2391" i="9" s="1"/>
  <c r="F2390" i="9" s="1"/>
  <c r="E2392" i="9"/>
  <c r="E2391" i="9" s="1"/>
  <c r="G2390" i="9"/>
  <c r="I2389" i="9"/>
  <c r="I2388" i="9"/>
  <c r="H2387" i="9"/>
  <c r="G2387" i="9"/>
  <c r="F2387" i="9"/>
  <c r="F2386" i="9" s="1"/>
  <c r="E2387" i="9"/>
  <c r="E2386" i="9" s="1"/>
  <c r="G2386" i="9"/>
  <c r="I2384" i="9"/>
  <c r="I2383" i="9"/>
  <c r="H2382" i="9"/>
  <c r="G2382" i="9"/>
  <c r="G2381" i="9" s="1"/>
  <c r="G2380" i="9" s="1"/>
  <c r="F2382" i="9"/>
  <c r="F2381" i="9" s="1"/>
  <c r="F2380" i="9" s="1"/>
  <c r="E2382" i="9"/>
  <c r="E2381" i="9" s="1"/>
  <c r="I2379" i="9"/>
  <c r="H2378" i="9"/>
  <c r="G2378" i="9"/>
  <c r="G2377" i="9" s="1"/>
  <c r="F2378" i="9"/>
  <c r="F2377" i="9" s="1"/>
  <c r="E2378" i="9"/>
  <c r="E2377" i="9"/>
  <c r="I2375" i="9"/>
  <c r="I2374" i="9"/>
  <c r="H2373" i="9"/>
  <c r="G2373" i="9"/>
  <c r="F2373" i="9"/>
  <c r="F2372" i="9" s="1"/>
  <c r="E2373" i="9"/>
  <c r="G2372" i="9"/>
  <c r="E2372" i="9"/>
  <c r="E2371" i="9" s="1"/>
  <c r="I2370" i="9"/>
  <c r="I2369" i="9"/>
  <c r="I2368" i="9"/>
  <c r="H2367" i="9"/>
  <c r="G2367" i="9"/>
  <c r="G2366" i="9" s="1"/>
  <c r="G2365" i="9" s="1"/>
  <c r="F2367" i="9"/>
  <c r="F2366" i="9" s="1"/>
  <c r="F2365" i="9" s="1"/>
  <c r="E2367" i="9"/>
  <c r="E2366" i="9" s="1"/>
  <c r="E2365" i="9" s="1"/>
  <c r="I2364" i="9"/>
  <c r="I2363" i="9"/>
  <c r="H2362" i="9"/>
  <c r="G2362" i="9"/>
  <c r="F2362" i="9"/>
  <c r="E2362" i="9"/>
  <c r="I2360" i="9"/>
  <c r="I2359" i="9"/>
  <c r="I2358" i="9"/>
  <c r="I2357" i="9"/>
  <c r="I2356" i="9"/>
  <c r="H2355" i="9"/>
  <c r="G2355" i="9"/>
  <c r="G2354" i="9" s="1"/>
  <c r="F2355" i="9"/>
  <c r="F2354" i="9" s="1"/>
  <c r="E2355" i="9"/>
  <c r="E2354" i="9" s="1"/>
  <c r="I2352" i="9"/>
  <c r="I2351" i="9"/>
  <c r="I2350" i="9"/>
  <c r="H2349" i="9"/>
  <c r="G2349" i="9"/>
  <c r="F2349" i="9"/>
  <c r="F2348" i="9" s="1"/>
  <c r="E2349" i="9"/>
  <c r="G2348" i="9"/>
  <c r="E2348" i="9"/>
  <c r="E2347" i="9" s="1"/>
  <c r="I2346" i="9"/>
  <c r="H2345" i="9"/>
  <c r="G2345" i="9"/>
  <c r="F2345" i="9"/>
  <c r="F2344" i="9" s="1"/>
  <c r="H2344" i="9"/>
  <c r="I2342" i="9"/>
  <c r="I2341" i="9"/>
  <c r="H2340" i="9"/>
  <c r="G2340" i="9"/>
  <c r="G2339" i="9" s="1"/>
  <c r="F2340" i="9"/>
  <c r="F2339" i="9" s="1"/>
  <c r="E2340" i="9"/>
  <c r="H2339" i="9"/>
  <c r="H2338" i="9" s="1"/>
  <c r="E2339" i="9"/>
  <c r="E2338" i="9" s="1"/>
  <c r="I2337" i="9"/>
  <c r="H2336" i="9"/>
  <c r="G2336" i="9"/>
  <c r="G2335" i="9" s="1"/>
  <c r="F2336" i="9"/>
  <c r="F2335" i="9" s="1"/>
  <c r="E2336" i="9"/>
  <c r="E2335" i="9" s="1"/>
  <c r="I2333" i="9"/>
  <c r="I2332" i="9"/>
  <c r="H2331" i="9"/>
  <c r="H2330" i="9" s="1"/>
  <c r="G2331" i="9"/>
  <c r="G2330" i="9" s="1"/>
  <c r="G2329" i="9" s="1"/>
  <c r="F2331" i="9"/>
  <c r="F2330" i="9" s="1"/>
  <c r="E2331" i="9"/>
  <c r="E2330" i="9" s="1"/>
  <c r="E2329" i="9" s="1"/>
  <c r="I2328" i="9"/>
  <c r="I2327" i="9"/>
  <c r="H2326" i="9"/>
  <c r="H2325" i="9" s="1"/>
  <c r="G2326" i="9"/>
  <c r="G2325" i="9" s="1"/>
  <c r="F2326" i="9"/>
  <c r="E2326" i="9"/>
  <c r="E2325" i="9" s="1"/>
  <c r="I2325" i="9"/>
  <c r="F2325" i="9"/>
  <c r="I2323" i="9"/>
  <c r="I2322" i="9"/>
  <c r="H2321" i="9"/>
  <c r="I2321" i="9" s="1"/>
  <c r="G2321" i="9"/>
  <c r="F2321" i="9"/>
  <c r="E2321" i="9"/>
  <c r="I2319" i="9"/>
  <c r="I2318" i="9"/>
  <c r="H2317" i="9"/>
  <c r="I2317" i="9" s="1"/>
  <c r="G2317" i="9"/>
  <c r="F2317" i="9"/>
  <c r="E2317" i="9"/>
  <c r="E2311" i="9" s="1"/>
  <c r="I2315" i="9"/>
  <c r="E2315" i="9"/>
  <c r="H2312" i="9"/>
  <c r="H2311" i="9" s="1"/>
  <c r="G2312" i="9"/>
  <c r="F2312" i="9"/>
  <c r="F2311" i="9" s="1"/>
  <c r="E2310" i="9"/>
  <c r="E2309" i="9" s="1"/>
  <c r="I2307" i="9"/>
  <c r="I2306" i="9"/>
  <c r="H2305" i="9"/>
  <c r="H2304" i="9" s="1"/>
  <c r="G2305" i="9"/>
  <c r="F2305" i="9"/>
  <c r="F2304" i="9" s="1"/>
  <c r="E2305" i="9"/>
  <c r="E2304" i="9" s="1"/>
  <c r="G2304" i="9"/>
  <c r="I2302" i="9"/>
  <c r="H2301" i="9"/>
  <c r="I2301" i="9" s="1"/>
  <c r="G2301" i="9"/>
  <c r="F2301" i="9"/>
  <c r="E2301" i="9"/>
  <c r="I2299" i="9"/>
  <c r="I2298" i="9"/>
  <c r="E2298" i="9"/>
  <c r="E2295" i="9" s="1"/>
  <c r="I2295" i="9"/>
  <c r="H2295" i="9"/>
  <c r="G2295" i="9"/>
  <c r="F2295" i="9"/>
  <c r="I2293" i="9"/>
  <c r="I2292" i="9"/>
  <c r="I2291" i="9"/>
  <c r="I2290" i="9"/>
  <c r="H2289" i="9"/>
  <c r="G2289" i="9"/>
  <c r="F2289" i="9"/>
  <c r="F2288" i="9" s="1"/>
  <c r="F2287" i="9" s="1"/>
  <c r="F2286" i="9" s="1"/>
  <c r="E2289" i="9"/>
  <c r="I2285" i="9"/>
  <c r="I2284" i="9"/>
  <c r="H2283" i="9"/>
  <c r="G2283" i="9"/>
  <c r="F2283" i="9"/>
  <c r="E2283" i="9"/>
  <c r="I2281" i="9"/>
  <c r="I2280" i="9"/>
  <c r="I2279" i="9"/>
  <c r="H2278" i="9"/>
  <c r="I2278" i="9" s="1"/>
  <c r="G2278" i="9"/>
  <c r="F2278" i="9"/>
  <c r="F2277" i="9" s="1"/>
  <c r="F2276" i="9" s="1"/>
  <c r="F2275" i="9" s="1"/>
  <c r="E2278" i="9"/>
  <c r="E2277" i="9"/>
  <c r="E2276" i="9" s="1"/>
  <c r="E2275" i="9" s="1"/>
  <c r="I2274" i="9"/>
  <c r="I2273" i="9"/>
  <c r="H2272" i="9"/>
  <c r="G2272" i="9"/>
  <c r="F2272" i="9"/>
  <c r="F2266" i="9" s="1"/>
  <c r="F2265" i="9" s="1"/>
  <c r="F2264" i="9" s="1"/>
  <c r="E2272" i="9"/>
  <c r="I2270" i="9"/>
  <c r="I2269" i="9"/>
  <c r="I2268" i="9"/>
  <c r="H2267" i="9"/>
  <c r="I2267" i="9" s="1"/>
  <c r="G2267" i="9"/>
  <c r="G2266" i="9" s="1"/>
  <c r="F2267" i="9"/>
  <c r="E2267" i="9"/>
  <c r="G2265" i="9"/>
  <c r="G2264" i="9" s="1"/>
  <c r="I2263" i="9"/>
  <c r="I2262" i="9"/>
  <c r="H2261" i="9"/>
  <c r="G2261" i="9"/>
  <c r="F2261" i="9"/>
  <c r="E2261" i="9"/>
  <c r="E2255" i="9" s="1"/>
  <c r="E2254" i="9" s="1"/>
  <c r="E2253" i="9" s="1"/>
  <c r="I2259" i="9"/>
  <c r="I2258" i="9"/>
  <c r="I2257" i="9"/>
  <c r="H2256" i="9"/>
  <c r="G2256" i="9"/>
  <c r="F2256" i="9"/>
  <c r="E2256" i="9"/>
  <c r="I2252" i="9"/>
  <c r="I2251" i="9"/>
  <c r="H2251" i="9"/>
  <c r="H2250" i="9" s="1"/>
  <c r="G2251" i="9"/>
  <c r="G2250" i="9" s="1"/>
  <c r="I2250" i="9" s="1"/>
  <c r="F2251" i="9"/>
  <c r="E2251" i="9"/>
  <c r="F2250" i="9"/>
  <c r="E2250" i="9"/>
  <c r="I2248" i="9"/>
  <c r="I2247" i="9"/>
  <c r="H2246" i="9"/>
  <c r="I2246" i="9" s="1"/>
  <c r="G2246" i="9"/>
  <c r="F2246" i="9"/>
  <c r="F2240" i="9" s="1"/>
  <c r="F2239" i="9" s="1"/>
  <c r="E2246" i="9"/>
  <c r="I2244" i="9"/>
  <c r="I2243" i="9"/>
  <c r="I2242" i="9"/>
  <c r="H2241" i="9"/>
  <c r="G2241" i="9"/>
  <c r="F2241" i="9"/>
  <c r="E2241" i="9"/>
  <c r="H2236" i="9"/>
  <c r="G2236" i="9"/>
  <c r="F2236" i="9"/>
  <c r="F2235" i="9" s="1"/>
  <c r="E2236" i="9"/>
  <c r="E2235" i="9" s="1"/>
  <c r="E2234" i="9" s="1"/>
  <c r="H2235" i="9"/>
  <c r="G2235" i="9"/>
  <c r="H2234" i="9"/>
  <c r="G2234" i="9"/>
  <c r="F2234" i="9"/>
  <c r="I2233" i="9"/>
  <c r="I2232" i="9"/>
  <c r="H2231" i="9"/>
  <c r="H2230" i="9" s="1"/>
  <c r="G2231" i="9"/>
  <c r="F2231" i="9"/>
  <c r="F2230" i="9" s="1"/>
  <c r="F2229" i="9" s="1"/>
  <c r="E2231" i="9"/>
  <c r="E2230" i="9"/>
  <c r="E2229" i="9" s="1"/>
  <c r="H2226" i="9"/>
  <c r="G2226" i="9"/>
  <c r="F2226" i="9"/>
  <c r="F2225" i="9" s="1"/>
  <c r="E2226" i="9"/>
  <c r="E2225" i="9" s="1"/>
  <c r="E2224" i="9" s="1"/>
  <c r="E2223" i="9" s="1"/>
  <c r="H2225" i="9"/>
  <c r="G2225" i="9"/>
  <c r="H2224" i="9"/>
  <c r="H2223" i="9" s="1"/>
  <c r="G2224" i="9"/>
  <c r="G2223" i="9" s="1"/>
  <c r="F2224" i="9"/>
  <c r="F2223" i="9" s="1"/>
  <c r="I2222" i="9"/>
  <c r="H2221" i="9"/>
  <c r="G2221" i="9"/>
  <c r="I2221" i="9" s="1"/>
  <c r="F2221" i="9"/>
  <c r="E2221" i="9"/>
  <c r="H2218" i="9"/>
  <c r="I2217" i="9"/>
  <c r="G2216" i="9"/>
  <c r="F2216" i="9"/>
  <c r="F2215" i="9" s="1"/>
  <c r="F2214" i="9" s="1"/>
  <c r="E2216" i="9"/>
  <c r="E2215" i="9" s="1"/>
  <c r="G2215" i="9"/>
  <c r="F2213" i="9"/>
  <c r="I2212" i="9"/>
  <c r="H2211" i="9"/>
  <c r="G2211" i="9"/>
  <c r="G2210" i="9" s="1"/>
  <c r="G2209" i="9" s="1"/>
  <c r="F2211" i="9"/>
  <c r="F2210" i="9" s="1"/>
  <c r="F2209" i="9" s="1"/>
  <c r="E2211" i="9"/>
  <c r="H2210" i="9"/>
  <c r="E2210" i="9"/>
  <c r="E2209" i="9" s="1"/>
  <c r="I2208" i="9"/>
  <c r="I2207" i="9"/>
  <c r="I2206" i="9"/>
  <c r="I2205" i="9"/>
  <c r="H2205" i="9"/>
  <c r="H2204" i="9" s="1"/>
  <c r="H2203" i="9" s="1"/>
  <c r="G2205" i="9"/>
  <c r="F2205" i="9"/>
  <c r="E2205" i="9"/>
  <c r="E2204" i="9" s="1"/>
  <c r="E2203" i="9" s="1"/>
  <c r="E2202" i="9" s="1"/>
  <c r="G2204" i="9"/>
  <c r="G2203" i="9" s="1"/>
  <c r="G2202" i="9" s="1"/>
  <c r="F2204" i="9"/>
  <c r="F2203" i="9" s="1"/>
  <c r="F2202" i="9" s="1"/>
  <c r="I2200" i="9"/>
  <c r="I2199" i="9"/>
  <c r="I2198" i="9"/>
  <c r="I2197" i="9"/>
  <c r="H2197" i="9"/>
  <c r="G2197" i="9"/>
  <c r="F2197" i="9"/>
  <c r="F2192" i="9" s="1"/>
  <c r="F2191" i="9" s="1"/>
  <c r="E2197" i="9"/>
  <c r="I2195" i="9"/>
  <c r="H2194" i="9"/>
  <c r="G2194" i="9"/>
  <c r="G2193" i="9" s="1"/>
  <c r="G2192" i="9" s="1"/>
  <c r="G2191" i="9" s="1"/>
  <c r="F2194" i="9"/>
  <c r="F2193" i="9" s="1"/>
  <c r="E2194" i="9"/>
  <c r="E2193" i="9"/>
  <c r="E2192" i="9"/>
  <c r="E2191" i="9" s="1"/>
  <c r="I2190" i="9"/>
  <c r="I2189" i="9"/>
  <c r="H2189" i="9"/>
  <c r="G2189" i="9"/>
  <c r="F2189" i="9"/>
  <c r="E2189" i="9"/>
  <c r="I2187" i="9"/>
  <c r="I2186" i="9"/>
  <c r="I2185" i="9"/>
  <c r="I2184" i="9"/>
  <c r="I2183" i="9"/>
  <c r="I2182" i="9"/>
  <c r="I2181" i="9"/>
  <c r="I2180" i="9"/>
  <c r="I2179" i="9"/>
  <c r="I2178" i="9"/>
  <c r="I2177" i="9"/>
  <c r="I2176" i="9"/>
  <c r="I2175" i="9"/>
  <c r="I2174" i="9"/>
  <c r="I2173" i="9"/>
  <c r="H2172" i="9"/>
  <c r="G2172" i="9"/>
  <c r="I2172" i="9" s="1"/>
  <c r="F2172" i="9"/>
  <c r="E2172" i="9"/>
  <c r="E2162" i="9" s="1"/>
  <c r="I2170" i="9"/>
  <c r="I2169" i="9"/>
  <c r="I2167" i="9"/>
  <c r="I2166" i="9"/>
  <c r="I2165" i="9"/>
  <c r="I2164" i="9"/>
  <c r="H2163" i="9"/>
  <c r="G2163" i="9"/>
  <c r="F2163" i="9"/>
  <c r="E2163" i="9"/>
  <c r="H2156" i="9"/>
  <c r="G2156" i="9"/>
  <c r="F2156" i="9"/>
  <c r="E2156" i="9"/>
  <c r="H2151" i="9"/>
  <c r="H2150" i="9" s="1"/>
  <c r="G2151" i="9"/>
  <c r="G2150" i="9" s="1"/>
  <c r="F2151" i="9"/>
  <c r="F2150" i="9" s="1"/>
  <c r="E2151" i="9"/>
  <c r="E2150" i="9"/>
  <c r="E2129" i="9" s="1"/>
  <c r="H2131" i="9"/>
  <c r="H2130" i="9" s="1"/>
  <c r="H2129" i="9" s="1"/>
  <c r="G2131" i="9"/>
  <c r="F2131" i="9"/>
  <c r="E2131" i="9"/>
  <c r="G2130" i="9"/>
  <c r="F2130" i="9"/>
  <c r="E2130" i="9"/>
  <c r="F2129" i="9"/>
  <c r="I2128" i="9"/>
  <c r="I2127" i="9"/>
  <c r="I2126" i="9"/>
  <c r="I2125" i="9"/>
  <c r="I2124" i="9"/>
  <c r="I2123" i="9"/>
  <c r="I2122" i="9"/>
  <c r="I2121" i="9"/>
  <c r="I2120" i="9"/>
  <c r="I2119" i="9"/>
  <c r="I2118" i="9"/>
  <c r="I2117" i="9"/>
  <c r="I2116" i="9"/>
  <c r="I2115" i="9"/>
  <c r="H2114" i="9"/>
  <c r="G2114" i="9"/>
  <c r="I2114" i="9" s="1"/>
  <c r="F2114" i="9"/>
  <c r="E2114" i="9"/>
  <c r="I2112" i="9"/>
  <c r="H2111" i="9"/>
  <c r="G2111" i="9"/>
  <c r="F2111" i="9"/>
  <c r="E2111" i="9"/>
  <c r="E2110" i="9" s="1"/>
  <c r="E2109" i="9" s="1"/>
  <c r="I2108" i="9"/>
  <c r="I2107" i="9"/>
  <c r="H2106" i="9"/>
  <c r="G2106" i="9"/>
  <c r="G2105" i="9" s="1"/>
  <c r="F2106" i="9"/>
  <c r="F2105" i="9" s="1"/>
  <c r="F2104" i="9" s="1"/>
  <c r="F2103" i="9" s="1"/>
  <c r="E2106" i="9"/>
  <c r="E2105" i="9" s="1"/>
  <c r="E2104" i="9" s="1"/>
  <c r="E2103" i="9" s="1"/>
  <c r="G2104" i="9"/>
  <c r="G2103" i="9" s="1"/>
  <c r="I2101" i="9"/>
  <c r="I2100" i="9"/>
  <c r="F2100" i="9"/>
  <c r="E2100" i="9"/>
  <c r="E2099" i="9" s="1"/>
  <c r="I2099" i="9"/>
  <c r="F2099" i="9"/>
  <c r="I2098" i="9"/>
  <c r="I2097" i="9"/>
  <c r="H2096" i="9"/>
  <c r="G2096" i="9"/>
  <c r="F2096" i="9"/>
  <c r="F2095" i="9" s="1"/>
  <c r="F2094" i="9" s="1"/>
  <c r="E2096" i="9"/>
  <c r="E2095" i="9" s="1"/>
  <c r="E2094" i="9" s="1"/>
  <c r="E2092" i="9" s="1"/>
  <c r="E2091" i="9" s="1"/>
  <c r="H2095" i="9"/>
  <c r="I2093" i="9"/>
  <c r="H2092" i="9"/>
  <c r="G2092" i="9"/>
  <c r="F2092" i="9"/>
  <c r="F2091" i="9" s="1"/>
  <c r="H2091" i="9"/>
  <c r="I2089" i="9"/>
  <c r="H2088" i="9"/>
  <c r="I2088" i="9" s="1"/>
  <c r="G2088" i="9"/>
  <c r="F2088" i="9"/>
  <c r="E2088" i="9"/>
  <c r="I2085" i="9"/>
  <c r="I2083" i="9"/>
  <c r="I2082" i="9"/>
  <c r="I2081" i="9"/>
  <c r="I2080" i="9"/>
  <c r="I2079" i="9"/>
  <c r="I2078" i="9"/>
  <c r="H2078" i="9"/>
  <c r="G2078" i="9"/>
  <c r="F2078" i="9"/>
  <c r="E2078" i="9"/>
  <c r="I2075" i="9"/>
  <c r="I2074" i="9"/>
  <c r="I2073" i="9"/>
  <c r="H2072" i="9"/>
  <c r="G2072" i="9"/>
  <c r="F2072" i="9"/>
  <c r="F2071" i="9" s="1"/>
  <c r="F2070" i="9" s="1"/>
  <c r="E2072" i="9"/>
  <c r="E2071" i="9" s="1"/>
  <c r="E2070" i="9" s="1"/>
  <c r="E2069" i="9" s="1"/>
  <c r="G2067" i="9"/>
  <c r="I2067" i="9" s="1"/>
  <c r="I2066" i="9"/>
  <c r="G2066" i="9"/>
  <c r="G2065" i="9"/>
  <c r="I2065" i="9" s="1"/>
  <c r="G2064" i="9"/>
  <c r="I2064" i="9" s="1"/>
  <c r="I2063" i="9"/>
  <c r="G2063" i="9"/>
  <c r="G2062" i="9"/>
  <c r="I2062" i="9" s="1"/>
  <c r="G2061" i="9"/>
  <c r="I2061" i="9" s="1"/>
  <c r="I2060" i="9"/>
  <c r="G2060" i="9"/>
  <c r="I2059" i="9"/>
  <c r="I2058" i="9"/>
  <c r="I2057" i="9"/>
  <c r="G2056" i="9"/>
  <c r="I2055" i="9"/>
  <c r="G2055" i="9"/>
  <c r="I2054" i="9"/>
  <c r="I2053" i="9"/>
  <c r="G2053" i="9"/>
  <c r="I2052" i="9"/>
  <c r="G2052" i="9"/>
  <c r="I2051" i="9"/>
  <c r="G2050" i="9"/>
  <c r="I2050" i="9" s="1"/>
  <c r="G2049" i="9"/>
  <c r="I2049" i="9" s="1"/>
  <c r="I2048" i="9"/>
  <c r="I2047" i="9"/>
  <c r="G2047" i="9"/>
  <c r="G2046" i="9"/>
  <c r="I2046" i="9" s="1"/>
  <c r="H2045" i="9"/>
  <c r="F2045" i="9"/>
  <c r="F2044" i="9" s="1"/>
  <c r="F2043" i="9" s="1"/>
  <c r="E2045" i="9"/>
  <c r="E2044" i="9" s="1"/>
  <c r="E2043" i="9" s="1"/>
  <c r="H2044" i="9"/>
  <c r="I2042" i="9"/>
  <c r="H2041" i="9"/>
  <c r="G2041" i="9"/>
  <c r="F2041" i="9"/>
  <c r="E2041" i="9"/>
  <c r="I2039" i="9"/>
  <c r="I2038" i="9"/>
  <c r="I2037" i="9"/>
  <c r="I2036" i="9"/>
  <c r="I2035" i="9"/>
  <c r="I2034" i="9"/>
  <c r="I2033" i="9"/>
  <c r="H2032" i="9"/>
  <c r="G2032" i="9"/>
  <c r="I2032" i="9" s="1"/>
  <c r="F2032" i="9"/>
  <c r="E2032" i="9"/>
  <c r="I2030" i="9"/>
  <c r="I2029" i="9"/>
  <c r="I2028" i="9"/>
  <c r="I2027" i="9"/>
  <c r="I2026" i="9"/>
  <c r="H2025" i="9"/>
  <c r="G2025" i="9"/>
  <c r="F2025" i="9"/>
  <c r="F2024" i="9" s="1"/>
  <c r="F2023" i="9" s="1"/>
  <c r="F2022" i="9" s="1"/>
  <c r="E2025" i="9"/>
  <c r="I2020" i="9"/>
  <c r="I2019" i="9"/>
  <c r="H2018" i="9"/>
  <c r="G2018" i="9"/>
  <c r="G2017" i="9" s="1"/>
  <c r="F2018" i="9"/>
  <c r="F2017" i="9" s="1"/>
  <c r="E2018" i="9"/>
  <c r="E2017" i="9"/>
  <c r="G2015" i="9"/>
  <c r="I2015" i="9" s="1"/>
  <c r="G2014" i="9"/>
  <c r="I2014" i="9" s="1"/>
  <c r="I2013" i="9"/>
  <c r="G2013" i="9"/>
  <c r="G2012" i="9"/>
  <c r="I2012" i="9" s="1"/>
  <c r="G2011" i="9"/>
  <c r="I2011" i="9" s="1"/>
  <c r="G2010" i="9"/>
  <c r="I2010" i="9" s="1"/>
  <c r="I2009" i="9"/>
  <c r="I2008" i="9"/>
  <c r="I2007" i="9"/>
  <c r="I2006" i="9"/>
  <c r="I2005" i="9"/>
  <c r="I2004" i="9"/>
  <c r="G2003" i="9"/>
  <c r="I2003" i="9" s="1"/>
  <c r="G2002" i="9"/>
  <c r="I2002" i="9" s="1"/>
  <c r="G2001" i="9"/>
  <c r="I2001" i="9" s="1"/>
  <c r="I2000" i="9"/>
  <c r="G2000" i="9"/>
  <c r="G1999" i="9"/>
  <c r="I1999" i="9" s="1"/>
  <c r="G1998" i="9"/>
  <c r="I1998" i="9" s="1"/>
  <c r="G1997" i="9"/>
  <c r="I1996" i="9"/>
  <c r="G1996" i="9"/>
  <c r="H1995" i="9"/>
  <c r="F1995" i="9"/>
  <c r="E1995" i="9"/>
  <c r="I1993" i="9"/>
  <c r="E1993" i="9"/>
  <c r="I1992" i="9"/>
  <c r="E1992" i="9"/>
  <c r="I1991" i="9"/>
  <c r="I1989" i="9"/>
  <c r="I1988" i="9"/>
  <c r="E1988" i="9"/>
  <c r="E1987" i="9" s="1"/>
  <c r="E1986" i="9" s="1"/>
  <c r="H1987" i="9"/>
  <c r="H1986" i="9" s="1"/>
  <c r="G1987" i="9"/>
  <c r="F1987" i="9"/>
  <c r="F1986" i="9" s="1"/>
  <c r="F1985" i="9" s="1"/>
  <c r="I1984" i="9"/>
  <c r="I1983" i="9"/>
  <c r="I1982" i="9"/>
  <c r="F1982" i="9"/>
  <c r="E1982" i="9"/>
  <c r="I1981" i="9"/>
  <c r="I1980" i="9"/>
  <c r="I1979" i="9"/>
  <c r="I1978" i="9"/>
  <c r="I1977" i="9"/>
  <c r="I1976" i="9"/>
  <c r="H1976" i="9"/>
  <c r="H1975" i="9" s="1"/>
  <c r="G1976" i="9"/>
  <c r="F1976" i="9"/>
  <c r="E1976" i="9"/>
  <c r="E1975" i="9" s="1"/>
  <c r="G1975" i="9"/>
  <c r="F1975" i="9"/>
  <c r="G1973" i="9"/>
  <c r="I1973" i="9" s="1"/>
  <c r="E1973" i="9"/>
  <c r="I1972" i="9"/>
  <c r="G1972" i="9"/>
  <c r="I1971" i="9"/>
  <c r="G1971" i="9"/>
  <c r="E1971" i="9"/>
  <c r="G1970" i="9"/>
  <c r="I1970" i="9" s="1"/>
  <c r="E1970" i="9"/>
  <c r="G1969" i="9"/>
  <c r="I1969" i="9" s="1"/>
  <c r="E1969" i="9"/>
  <c r="I1968" i="9"/>
  <c r="G1968" i="9"/>
  <c r="E1968" i="9"/>
  <c r="E1967" i="9"/>
  <c r="E1966" i="9"/>
  <c r="I1965" i="9"/>
  <c r="G1965" i="9"/>
  <c r="E1965" i="9"/>
  <c r="I1964" i="9"/>
  <c r="G1964" i="9"/>
  <c r="E1964" i="9"/>
  <c r="I1963" i="9"/>
  <c r="E1963" i="9"/>
  <c r="I1962" i="9"/>
  <c r="E1962" i="9"/>
  <c r="I1961" i="9"/>
  <c r="I1960" i="9"/>
  <c r="E1959" i="9"/>
  <c r="E1958" i="9"/>
  <c r="G1957" i="9"/>
  <c r="I1957" i="9" s="1"/>
  <c r="E1957" i="9"/>
  <c r="G1956" i="9"/>
  <c r="I1956" i="9" s="1"/>
  <c r="E1956" i="9"/>
  <c r="I1955" i="9"/>
  <c r="G1955" i="9"/>
  <c r="E1955" i="9"/>
  <c r="G1954" i="9"/>
  <c r="I1954" i="9" s="1"/>
  <c r="E1954" i="9"/>
  <c r="G1953" i="9"/>
  <c r="I1953" i="9" s="1"/>
  <c r="E1953" i="9"/>
  <c r="G1952" i="9"/>
  <c r="I1952" i="9" s="1"/>
  <c r="E1952" i="9"/>
  <c r="I1951" i="9"/>
  <c r="G1951" i="9"/>
  <c r="E1951" i="9"/>
  <c r="G1950" i="9"/>
  <c r="I1950" i="9" s="1"/>
  <c r="E1950" i="9"/>
  <c r="G1949" i="9"/>
  <c r="I1949" i="9" s="1"/>
  <c r="E1949" i="9"/>
  <c r="G1948" i="9"/>
  <c r="I1948" i="9" s="1"/>
  <c r="E1948" i="9"/>
  <c r="G1947" i="9"/>
  <c r="I1947" i="9" s="1"/>
  <c r="E1947" i="9"/>
  <c r="I1946" i="9"/>
  <c r="G1946" i="9"/>
  <c r="E1946" i="9"/>
  <c r="G1945" i="9"/>
  <c r="I1945" i="9" s="1"/>
  <c r="E1945" i="9"/>
  <c r="G1944" i="9"/>
  <c r="I1944" i="9" s="1"/>
  <c r="E1944" i="9"/>
  <c r="I1943" i="9"/>
  <c r="G1943" i="9"/>
  <c r="E1943" i="9"/>
  <c r="I1942" i="9"/>
  <c r="G1942" i="9"/>
  <c r="E1942" i="9"/>
  <c r="I1941" i="9"/>
  <c r="G1941" i="9"/>
  <c r="E1941" i="9"/>
  <c r="G1940" i="9"/>
  <c r="I1940" i="9" s="1"/>
  <c r="E1940" i="9"/>
  <c r="G1939" i="9"/>
  <c r="I1939" i="9" s="1"/>
  <c r="E1939" i="9"/>
  <c r="I1938" i="9"/>
  <c r="G1938" i="9"/>
  <c r="E1938" i="9"/>
  <c r="G1937" i="9"/>
  <c r="E1937" i="9"/>
  <c r="G1936" i="9"/>
  <c r="I1936" i="9" s="1"/>
  <c r="E1936" i="9"/>
  <c r="I1935" i="9"/>
  <c r="G1935" i="9"/>
  <c r="E1935" i="9"/>
  <c r="I1934" i="9"/>
  <c r="G1934" i="9"/>
  <c r="E1934" i="9"/>
  <c r="I1933" i="9"/>
  <c r="G1933" i="9"/>
  <c r="E1933" i="9"/>
  <c r="H1932" i="9"/>
  <c r="F1932" i="9"/>
  <c r="I1930" i="9"/>
  <c r="I1929" i="9"/>
  <c r="H1928" i="9"/>
  <c r="G1928" i="9"/>
  <c r="F1928" i="9"/>
  <c r="E1928" i="9"/>
  <c r="I1926" i="9"/>
  <c r="I1925" i="9"/>
  <c r="I1924" i="9"/>
  <c r="H1924" i="9"/>
  <c r="G1924" i="9"/>
  <c r="F1924" i="9"/>
  <c r="E1924" i="9"/>
  <c r="I1922" i="9"/>
  <c r="I1921" i="9"/>
  <c r="I1920" i="9"/>
  <c r="I1919" i="9"/>
  <c r="I1918" i="9"/>
  <c r="I1917" i="9"/>
  <c r="I1916" i="9"/>
  <c r="I1915" i="9"/>
  <c r="I1914" i="9"/>
  <c r="I1913" i="9"/>
  <c r="I1912" i="9"/>
  <c r="I1911" i="9"/>
  <c r="I1910" i="9"/>
  <c r="I1909" i="9"/>
  <c r="I1908" i="9"/>
  <c r="I1907" i="9"/>
  <c r="I1906" i="9"/>
  <c r="I1905" i="9"/>
  <c r="I1904" i="9"/>
  <c r="I1903" i="9"/>
  <c r="H1902" i="9"/>
  <c r="G1902" i="9"/>
  <c r="I1902" i="9" s="1"/>
  <c r="F1902" i="9"/>
  <c r="E1902" i="9"/>
  <c r="I1900" i="9"/>
  <c r="I1899" i="9"/>
  <c r="I1898" i="9"/>
  <c r="I1897" i="9"/>
  <c r="I1896" i="9"/>
  <c r="I1895" i="9"/>
  <c r="I1894" i="9"/>
  <c r="H1894" i="9"/>
  <c r="H1893" i="9" s="1"/>
  <c r="G1894" i="9"/>
  <c r="F1894" i="9"/>
  <c r="E1894" i="9"/>
  <c r="G1893" i="9"/>
  <c r="F1893" i="9"/>
  <c r="I1890" i="9"/>
  <c r="H1889" i="9"/>
  <c r="G1889" i="9"/>
  <c r="I1889" i="9" s="1"/>
  <c r="F1889" i="9"/>
  <c r="F1888" i="9" s="1"/>
  <c r="E1889" i="9"/>
  <c r="E1888" i="9" s="1"/>
  <c r="H1888" i="9"/>
  <c r="I1888" i="9" s="1"/>
  <c r="G1888" i="9"/>
  <c r="I1886" i="9"/>
  <c r="I1885" i="9"/>
  <c r="I1884" i="9"/>
  <c r="I1883" i="9"/>
  <c r="I1882" i="9"/>
  <c r="H1882" i="9"/>
  <c r="H1881" i="9" s="1"/>
  <c r="G1882" i="9"/>
  <c r="G1881" i="9" s="1"/>
  <c r="F1882" i="9"/>
  <c r="E1882" i="9"/>
  <c r="F1881" i="9"/>
  <c r="F1880" i="9" s="1"/>
  <c r="E1881" i="9"/>
  <c r="I1878" i="9"/>
  <c r="I1877" i="9"/>
  <c r="I1876" i="9"/>
  <c r="I1875" i="9"/>
  <c r="I1874" i="9"/>
  <c r="H1874" i="9"/>
  <c r="G1874" i="9"/>
  <c r="F1874" i="9"/>
  <c r="E1874" i="9"/>
  <c r="I1872" i="9"/>
  <c r="I1871" i="9"/>
  <c r="I1870" i="9"/>
  <c r="I1869" i="9"/>
  <c r="I1868" i="9"/>
  <c r="I1867" i="9"/>
  <c r="H1866" i="9"/>
  <c r="G1866" i="9"/>
  <c r="G1865" i="9" s="1"/>
  <c r="F1866" i="9"/>
  <c r="F1865" i="9" s="1"/>
  <c r="E1866" i="9"/>
  <c r="E1865" i="9" s="1"/>
  <c r="I1863" i="9"/>
  <c r="G1863" i="9"/>
  <c r="G1862" i="9"/>
  <c r="I1862" i="9" s="1"/>
  <c r="I1861" i="9"/>
  <c r="I1860" i="9"/>
  <c r="I1859" i="9"/>
  <c r="I1858" i="9"/>
  <c r="I1857" i="9"/>
  <c r="I1856" i="9"/>
  <c r="I1855" i="9"/>
  <c r="I1854" i="9"/>
  <c r="G1854" i="9"/>
  <c r="I1853" i="9"/>
  <c r="G1853" i="9"/>
  <c r="I1852" i="9"/>
  <c r="I1851" i="9"/>
  <c r="I1850" i="9"/>
  <c r="G1850" i="9"/>
  <c r="I1849" i="9"/>
  <c r="G1848" i="9"/>
  <c r="I1848" i="9" s="1"/>
  <c r="I1847" i="9"/>
  <c r="I1846" i="9"/>
  <c r="I1845" i="9"/>
  <c r="I1844" i="9"/>
  <c r="I1843" i="9"/>
  <c r="I1842" i="9"/>
  <c r="G1841" i="9"/>
  <c r="I1841" i="9" s="1"/>
  <c r="G1840" i="9"/>
  <c r="I1840" i="9" s="1"/>
  <c r="I1839" i="9"/>
  <c r="G1839" i="9"/>
  <c r="I1838" i="9"/>
  <c r="G1837" i="9"/>
  <c r="I1837" i="9" s="1"/>
  <c r="I1836" i="9"/>
  <c r="I1835" i="9"/>
  <c r="I1834" i="9"/>
  <c r="I1833" i="9"/>
  <c r="I1832" i="9"/>
  <c r="I1831" i="9"/>
  <c r="I1830" i="9"/>
  <c r="I1829" i="9"/>
  <c r="G1828" i="9"/>
  <c r="I1828" i="9" s="1"/>
  <c r="I1827" i="9"/>
  <c r="I1826" i="9"/>
  <c r="G1826" i="9"/>
  <c r="G1825" i="9"/>
  <c r="I1825" i="9" s="1"/>
  <c r="G1824" i="9"/>
  <c r="I1824" i="9" s="1"/>
  <c r="G1823" i="9"/>
  <c r="I1823" i="9" s="1"/>
  <c r="I1822" i="9"/>
  <c r="G1821" i="9"/>
  <c r="I1821" i="9" s="1"/>
  <c r="G1820" i="9"/>
  <c r="I1820" i="9" s="1"/>
  <c r="I1818" i="9"/>
  <c r="G1818" i="9"/>
  <c r="G1817" i="9"/>
  <c r="I1817" i="9" s="1"/>
  <c r="G1815" i="9"/>
  <c r="I1815" i="9" s="1"/>
  <c r="G1814" i="9"/>
  <c r="I1814" i="9" s="1"/>
  <c r="I1813" i="9"/>
  <c r="G1812" i="9"/>
  <c r="I1812" i="9" s="1"/>
  <c r="I1811" i="9"/>
  <c r="I1810" i="9"/>
  <c r="I1809" i="9"/>
  <c r="I1808" i="9"/>
  <c r="G1808" i="9"/>
  <c r="J1808" i="9" s="1"/>
  <c r="G1807" i="9"/>
  <c r="I1807" i="9" s="1"/>
  <c r="G1806" i="9"/>
  <c r="I1805" i="9"/>
  <c r="G1805" i="9"/>
  <c r="G1804" i="9"/>
  <c r="I1803" i="9"/>
  <c r="G1803" i="9"/>
  <c r="I1802" i="9"/>
  <c r="I1801" i="9"/>
  <c r="H1800" i="9"/>
  <c r="F1800" i="9"/>
  <c r="E1800" i="9"/>
  <c r="I1798" i="9"/>
  <c r="H1798" i="9"/>
  <c r="K1808" i="9" s="1"/>
  <c r="G1798" i="9"/>
  <c r="H1797" i="9"/>
  <c r="G1797" i="9"/>
  <c r="G1792" i="9" s="1"/>
  <c r="I1796" i="9"/>
  <c r="H1795" i="9"/>
  <c r="G1795" i="9"/>
  <c r="I1794" i="9"/>
  <c r="F1792" i="9"/>
  <c r="E1792" i="9"/>
  <c r="E1791" i="9" s="1"/>
  <c r="E1790" i="9" s="1"/>
  <c r="I1789" i="9"/>
  <c r="H1788" i="9"/>
  <c r="G1788" i="9"/>
  <c r="G1787" i="9" s="1"/>
  <c r="F1788" i="9"/>
  <c r="E1788" i="9"/>
  <c r="F1787" i="9"/>
  <c r="F1786" i="9" s="1"/>
  <c r="E1787" i="9"/>
  <c r="E1786" i="9" s="1"/>
  <c r="I1785" i="9"/>
  <c r="I1784" i="9"/>
  <c r="H1783" i="9"/>
  <c r="H1782" i="9" s="1"/>
  <c r="G1783" i="9"/>
  <c r="F1783" i="9"/>
  <c r="F1782" i="9" s="1"/>
  <c r="E1783" i="9"/>
  <c r="E1782" i="9" s="1"/>
  <c r="I1780" i="9"/>
  <c r="I1779" i="9"/>
  <c r="I1778" i="9"/>
  <c r="I1777" i="9"/>
  <c r="I1776" i="9"/>
  <c r="I1775" i="9"/>
  <c r="I1774" i="9"/>
  <c r="I1773" i="9"/>
  <c r="I1772" i="9"/>
  <c r="I1771" i="9"/>
  <c r="H1770" i="9"/>
  <c r="I1770" i="9" s="1"/>
  <c r="G1770" i="9"/>
  <c r="F1770" i="9"/>
  <c r="E1770" i="9"/>
  <c r="I1768" i="9"/>
  <c r="H1767" i="9"/>
  <c r="G1767" i="9"/>
  <c r="F1767" i="9"/>
  <c r="E1767" i="9"/>
  <c r="I1765" i="9"/>
  <c r="I1764" i="9"/>
  <c r="I1763" i="9"/>
  <c r="I1762" i="9"/>
  <c r="I1761" i="9"/>
  <c r="I1760" i="9"/>
  <c r="I1759" i="9"/>
  <c r="I1758" i="9"/>
  <c r="I1756" i="9"/>
  <c r="I1755" i="9"/>
  <c r="I1753" i="9"/>
  <c r="I1752" i="9"/>
  <c r="I1751" i="9"/>
  <c r="I1750" i="9"/>
  <c r="I1749" i="9"/>
  <c r="I1748" i="9"/>
  <c r="I1747" i="9"/>
  <c r="I1746" i="9"/>
  <c r="I1745" i="9"/>
  <c r="I1744" i="9"/>
  <c r="H1743" i="9"/>
  <c r="I1743" i="9" s="1"/>
  <c r="G1743" i="9"/>
  <c r="F1743" i="9"/>
  <c r="E1743" i="9"/>
  <c r="E1734" i="9" s="1"/>
  <c r="E1733" i="9" s="1"/>
  <c r="E1732" i="9" s="1"/>
  <c r="E1730" i="9" s="1"/>
  <c r="E1729" i="9" s="1"/>
  <c r="E1728" i="9" s="1"/>
  <c r="I1741" i="9"/>
  <c r="I1740" i="9"/>
  <c r="I1739" i="9"/>
  <c r="I1738" i="9"/>
  <c r="I1737" i="9"/>
  <c r="I1736" i="9"/>
  <c r="H1735" i="9"/>
  <c r="G1735" i="9"/>
  <c r="F1735" i="9"/>
  <c r="E1735" i="9"/>
  <c r="I1731" i="9"/>
  <c r="I1730" i="9"/>
  <c r="H1730" i="9"/>
  <c r="H1729" i="9" s="1"/>
  <c r="H1728" i="9" s="1"/>
  <c r="G1730" i="9"/>
  <c r="G1729" i="9" s="1"/>
  <c r="G1728" i="9" s="1"/>
  <c r="F1730" i="9"/>
  <c r="I1729" i="9"/>
  <c r="F1729" i="9"/>
  <c r="F1728" i="9" s="1"/>
  <c r="I1727" i="9"/>
  <c r="I1726" i="9"/>
  <c r="H1726" i="9"/>
  <c r="H1725" i="9" s="1"/>
  <c r="G1726" i="9"/>
  <c r="G1725" i="9" s="1"/>
  <c r="F1726" i="9"/>
  <c r="E1726" i="9"/>
  <c r="E1725" i="9" s="1"/>
  <c r="E1724" i="9" s="1"/>
  <c r="F1725" i="9"/>
  <c r="F1724" i="9" s="1"/>
  <c r="G1724" i="9"/>
  <c r="I1722" i="9"/>
  <c r="I1721" i="9"/>
  <c r="H1720" i="9"/>
  <c r="G1720" i="9"/>
  <c r="I1720" i="9" s="1"/>
  <c r="F1720" i="9"/>
  <c r="I1718" i="9"/>
  <c r="I1717" i="9"/>
  <c r="H1716" i="9"/>
  <c r="I1716" i="9" s="1"/>
  <c r="G1716" i="9"/>
  <c r="F1716" i="9"/>
  <c r="F1715" i="9" s="1"/>
  <c r="H1715" i="9"/>
  <c r="I1715" i="9" s="1"/>
  <c r="G1715" i="9"/>
  <c r="I1713" i="9"/>
  <c r="I1712" i="9"/>
  <c r="I1711" i="9"/>
  <c r="I1710" i="9"/>
  <c r="I1709" i="9"/>
  <c r="H1708" i="9"/>
  <c r="I1708" i="9" s="1"/>
  <c r="G1708" i="9"/>
  <c r="F1708" i="9"/>
  <c r="I1706" i="9"/>
  <c r="I1705" i="9"/>
  <c r="H1704" i="9"/>
  <c r="G1704" i="9"/>
  <c r="F1704" i="9"/>
  <c r="E1704" i="9"/>
  <c r="I1702" i="9"/>
  <c r="I1701" i="9"/>
  <c r="H1701" i="9"/>
  <c r="G1701" i="9"/>
  <c r="F1701" i="9"/>
  <c r="E1701" i="9"/>
  <c r="I1699" i="9"/>
  <c r="H1698" i="9"/>
  <c r="I1698" i="9" s="1"/>
  <c r="G1698" i="9"/>
  <c r="F1698" i="9"/>
  <c r="E1698" i="9"/>
  <c r="E1697" i="9"/>
  <c r="E1696" i="9" s="1"/>
  <c r="E1695" i="9" s="1"/>
  <c r="I1694" i="9"/>
  <c r="H1693" i="9"/>
  <c r="I1693" i="9" s="1"/>
  <c r="G1693" i="9"/>
  <c r="F1693" i="9"/>
  <c r="I1692" i="9"/>
  <c r="I1691" i="9"/>
  <c r="I1690" i="9"/>
  <c r="H1689" i="9"/>
  <c r="I1689" i="9" s="1"/>
  <c r="G1689" i="9"/>
  <c r="F1689" i="9"/>
  <c r="F1688" i="9" s="1"/>
  <c r="F1687" i="9" s="1"/>
  <c r="H1688" i="9"/>
  <c r="G1688" i="9"/>
  <c r="G1687" i="9" s="1"/>
  <c r="G1686" i="9" s="1"/>
  <c r="E1688" i="9"/>
  <c r="E1687" i="9" s="1"/>
  <c r="E1686" i="9" s="1"/>
  <c r="F1686" i="9"/>
  <c r="I1685" i="9"/>
  <c r="H1684" i="9"/>
  <c r="G1684" i="9"/>
  <c r="G1683" i="9" s="1"/>
  <c r="G1682" i="9" s="1"/>
  <c r="G1681" i="9" s="1"/>
  <c r="F1684" i="9"/>
  <c r="F1683" i="9" s="1"/>
  <c r="F1682" i="9" s="1"/>
  <c r="F1681" i="9" s="1"/>
  <c r="E1684" i="9"/>
  <c r="E1683" i="9" s="1"/>
  <c r="E1682" i="9" s="1"/>
  <c r="E1681" i="9" s="1"/>
  <c r="H1683" i="9"/>
  <c r="I1680" i="9"/>
  <c r="I1679" i="9"/>
  <c r="H1678" i="9"/>
  <c r="H1677" i="9" s="1"/>
  <c r="G1678" i="9"/>
  <c r="G1677" i="9" s="1"/>
  <c r="G1666" i="9" s="1"/>
  <c r="F1678" i="9"/>
  <c r="F1677" i="9" s="1"/>
  <c r="E1678" i="9"/>
  <c r="E1677" i="9" s="1"/>
  <c r="I1675" i="9"/>
  <c r="H1674" i="9"/>
  <c r="I1674" i="9" s="1"/>
  <c r="G1674" i="9"/>
  <c r="F1674" i="9"/>
  <c r="E1674" i="9"/>
  <c r="I1672" i="9"/>
  <c r="I1671" i="9"/>
  <c r="I1670" i="9"/>
  <c r="H1669" i="9"/>
  <c r="H1668" i="9" s="1"/>
  <c r="G1669" i="9"/>
  <c r="G1668" i="9" s="1"/>
  <c r="F1669" i="9"/>
  <c r="F1668" i="9" s="1"/>
  <c r="F1667" i="9" s="1"/>
  <c r="E1669" i="9"/>
  <c r="E1668" i="9" s="1"/>
  <c r="E1667" i="9" s="1"/>
  <c r="E1666" i="9" s="1"/>
  <c r="I1668" i="9"/>
  <c r="G1667" i="9"/>
  <c r="I1665" i="9"/>
  <c r="H1664" i="9"/>
  <c r="H1663" i="9" s="1"/>
  <c r="G1664" i="9"/>
  <c r="F1664" i="9"/>
  <c r="F1663" i="9" s="1"/>
  <c r="F1662" i="9" s="1"/>
  <c r="E1664" i="9"/>
  <c r="E1663" i="9" s="1"/>
  <c r="E1662" i="9" s="1"/>
  <c r="G1663" i="9"/>
  <c r="G1662" i="9" s="1"/>
  <c r="H1662" i="9"/>
  <c r="I1660" i="9"/>
  <c r="H1659" i="9"/>
  <c r="G1659" i="9"/>
  <c r="F1659" i="9"/>
  <c r="E1659" i="9"/>
  <c r="E1658" i="9" s="1"/>
  <c r="G1658" i="9"/>
  <c r="F1658" i="9"/>
  <c r="F1657" i="9" s="1"/>
  <c r="F1656" i="9" s="1"/>
  <c r="G1657" i="9"/>
  <c r="G1656" i="9" s="1"/>
  <c r="I1655" i="9"/>
  <c r="H1654" i="9"/>
  <c r="G1654" i="9"/>
  <c r="F1654" i="9"/>
  <c r="F1653" i="9" s="1"/>
  <c r="E1654" i="9"/>
  <c r="E1653" i="9" s="1"/>
  <c r="H1653" i="9"/>
  <c r="I1651" i="9"/>
  <c r="H1650" i="9"/>
  <c r="G1650" i="9"/>
  <c r="F1650" i="9"/>
  <c r="E1650" i="9"/>
  <c r="I1648" i="9"/>
  <c r="H1647" i="9"/>
  <c r="G1647" i="9"/>
  <c r="G1646" i="9" s="1"/>
  <c r="F1647" i="9"/>
  <c r="F1646" i="9" s="1"/>
  <c r="F1645" i="9" s="1"/>
  <c r="F1644" i="9" s="1"/>
  <c r="E1647" i="9"/>
  <c r="E1646" i="9" s="1"/>
  <c r="I1643" i="9"/>
  <c r="H1642" i="9"/>
  <c r="G1642" i="9"/>
  <c r="G1641" i="9" s="1"/>
  <c r="F1642" i="9"/>
  <c r="F1641" i="9" s="1"/>
  <c r="E1642" i="9"/>
  <c r="E1641" i="9"/>
  <c r="H1638" i="9"/>
  <c r="H1637" i="9" s="1"/>
  <c r="G1638" i="9"/>
  <c r="G1637" i="9" s="1"/>
  <c r="F1638" i="9"/>
  <c r="E1638" i="9"/>
  <c r="F1637" i="9"/>
  <c r="E1637" i="9"/>
  <c r="E1636" i="9" s="1"/>
  <c r="F1636" i="9"/>
  <c r="I1635" i="9"/>
  <c r="H1634" i="9"/>
  <c r="H1633" i="9" s="1"/>
  <c r="G1634" i="9"/>
  <c r="F1634" i="9"/>
  <c r="F1633" i="9" s="1"/>
  <c r="F1628" i="9" s="1"/>
  <c r="E1634" i="9"/>
  <c r="E1633" i="9" s="1"/>
  <c r="E1628" i="9" s="1"/>
  <c r="I1631" i="9"/>
  <c r="H1630" i="9"/>
  <c r="H1629" i="9" s="1"/>
  <c r="H1628" i="9" s="1"/>
  <c r="G1630" i="9"/>
  <c r="F1630" i="9"/>
  <c r="F1629" i="9" s="1"/>
  <c r="I1627" i="9"/>
  <c r="H1626" i="9"/>
  <c r="G1626" i="9"/>
  <c r="F1626" i="9"/>
  <c r="E1626" i="9"/>
  <c r="E1625" i="9" s="1"/>
  <c r="G1625" i="9"/>
  <c r="G1617" i="9" s="1"/>
  <c r="F1625" i="9"/>
  <c r="I1623" i="9"/>
  <c r="H1622" i="9"/>
  <c r="I1622" i="9" s="1"/>
  <c r="G1622" i="9"/>
  <c r="F1622" i="9"/>
  <c r="E1622" i="9"/>
  <c r="E1618" i="9" s="1"/>
  <c r="I1621" i="9"/>
  <c r="H1620" i="9"/>
  <c r="G1620" i="9"/>
  <c r="I1620" i="9" s="1"/>
  <c r="F1620" i="9"/>
  <c r="F1619" i="9" s="1"/>
  <c r="E1620" i="9"/>
  <c r="E1619" i="9" s="1"/>
  <c r="H1619" i="9"/>
  <c r="G1619" i="9"/>
  <c r="G1618" i="9" s="1"/>
  <c r="I1616" i="9"/>
  <c r="H1615" i="9"/>
  <c r="G1615" i="9"/>
  <c r="F1615" i="9"/>
  <c r="E1615" i="9"/>
  <c r="I1613" i="9"/>
  <c r="H1612" i="9"/>
  <c r="G1612" i="9"/>
  <c r="F1612" i="9"/>
  <c r="E1611" i="9"/>
  <c r="E1610" i="9" s="1"/>
  <c r="I1609" i="9"/>
  <c r="I1608" i="9"/>
  <c r="I1607" i="9"/>
  <c r="H1606" i="9"/>
  <c r="G1606" i="9"/>
  <c r="I1606" i="9" s="1"/>
  <c r="F1606" i="9"/>
  <c r="F1605" i="9" s="1"/>
  <c r="E1606" i="9"/>
  <c r="E1605" i="9" s="1"/>
  <c r="H1605" i="9"/>
  <c r="G1605" i="9"/>
  <c r="I1603" i="9"/>
  <c r="I1602" i="9"/>
  <c r="H1601" i="9"/>
  <c r="G1601" i="9"/>
  <c r="F1601" i="9"/>
  <c r="E1601" i="9"/>
  <c r="I1599" i="9"/>
  <c r="H1598" i="9"/>
  <c r="H1597" i="9" s="1"/>
  <c r="G1598" i="9"/>
  <c r="F1598" i="9"/>
  <c r="F1597" i="9" s="1"/>
  <c r="F1596" i="9" s="1"/>
  <c r="F1595" i="9" s="1"/>
  <c r="E1598" i="9"/>
  <c r="E1597" i="9" s="1"/>
  <c r="I1593" i="9"/>
  <c r="I1592" i="9"/>
  <c r="I1591" i="9"/>
  <c r="F1591" i="9"/>
  <c r="E1591" i="9"/>
  <c r="E1590" i="9" s="1"/>
  <c r="I1590" i="9"/>
  <c r="F1590" i="9"/>
  <c r="I1589" i="9"/>
  <c r="I1588" i="9"/>
  <c r="I1587" i="9"/>
  <c r="I1586" i="9"/>
  <c r="F1586" i="9"/>
  <c r="E1586" i="9"/>
  <c r="I1585" i="9"/>
  <c r="I1584" i="9"/>
  <c r="I1583" i="9"/>
  <c r="F1583" i="9"/>
  <c r="F1582" i="9" s="1"/>
  <c r="F1581" i="9" s="1"/>
  <c r="E1583" i="9"/>
  <c r="E1582" i="9" s="1"/>
  <c r="E1581" i="9" s="1"/>
  <c r="I1582" i="9"/>
  <c r="I1581" i="9"/>
  <c r="I1580" i="9"/>
  <c r="I1579" i="9"/>
  <c r="I1578" i="9"/>
  <c r="F1578" i="9"/>
  <c r="E1578" i="9"/>
  <c r="I1577" i="9"/>
  <c r="I1576" i="9"/>
  <c r="I1575" i="9"/>
  <c r="F1575" i="9"/>
  <c r="E1575" i="9"/>
  <c r="I1574" i="9"/>
  <c r="I1573" i="9"/>
  <c r="I1572" i="9"/>
  <c r="I1571" i="9"/>
  <c r="F1571" i="9"/>
  <c r="E1571" i="9"/>
  <c r="E1570" i="9" s="1"/>
  <c r="E1569" i="9" s="1"/>
  <c r="E1568" i="9" s="1"/>
  <c r="I1570" i="9"/>
  <c r="F1570" i="9"/>
  <c r="I1569" i="9"/>
  <c r="I1568" i="9"/>
  <c r="I1567" i="9"/>
  <c r="I1566" i="9"/>
  <c r="I1565" i="9"/>
  <c r="I1564" i="9"/>
  <c r="I1563" i="9"/>
  <c r="I1562" i="9"/>
  <c r="H1561" i="9"/>
  <c r="G1561" i="9"/>
  <c r="F1561" i="9"/>
  <c r="F1560" i="9" s="1"/>
  <c r="E1561" i="9"/>
  <c r="E1560" i="9" s="1"/>
  <c r="H1560" i="9"/>
  <c r="I1559" i="9"/>
  <c r="I1558" i="9"/>
  <c r="I1557" i="9"/>
  <c r="I1556" i="9"/>
  <c r="F1556" i="9"/>
  <c r="E1556" i="9"/>
  <c r="I1554" i="9"/>
  <c r="I1553" i="9"/>
  <c r="I1552" i="9"/>
  <c r="H1551" i="9"/>
  <c r="G1551" i="9"/>
  <c r="F1551" i="9"/>
  <c r="E1551" i="9"/>
  <c r="I1549" i="9"/>
  <c r="I1548" i="9"/>
  <c r="I1547" i="9"/>
  <c r="I1546" i="9"/>
  <c r="I1545" i="9"/>
  <c r="I1544" i="9"/>
  <c r="H1543" i="9"/>
  <c r="G1543" i="9"/>
  <c r="I1543" i="9" s="1"/>
  <c r="F1543" i="9"/>
  <c r="E1543" i="9"/>
  <c r="I1541" i="9"/>
  <c r="I1540" i="9"/>
  <c r="I1539" i="9"/>
  <c r="H1538" i="9"/>
  <c r="G1538" i="9"/>
  <c r="G1531" i="9" s="1"/>
  <c r="G1530" i="9" s="1"/>
  <c r="F1538" i="9"/>
  <c r="E1538" i="9"/>
  <c r="I1536" i="9"/>
  <c r="I1535" i="9"/>
  <c r="I1534" i="9"/>
  <c r="I1533" i="9"/>
  <c r="H1532" i="9"/>
  <c r="G1532" i="9"/>
  <c r="F1532" i="9"/>
  <c r="F1531" i="9" s="1"/>
  <c r="F1530" i="9" s="1"/>
  <c r="E1532" i="9"/>
  <c r="E1531" i="9" s="1"/>
  <c r="I1528" i="9"/>
  <c r="I1527" i="9"/>
  <c r="I1526" i="9"/>
  <c r="I1525" i="9"/>
  <c r="I1524" i="9"/>
  <c r="I1523" i="9"/>
  <c r="H1522" i="9"/>
  <c r="I1522" i="9" s="1"/>
  <c r="G1522" i="9"/>
  <c r="F1522" i="9"/>
  <c r="E1522" i="9"/>
  <c r="E1515" i="9" s="1"/>
  <c r="E1514" i="9" s="1"/>
  <c r="E1513" i="9" s="1"/>
  <c r="I1521" i="9"/>
  <c r="I1520" i="9"/>
  <c r="I1519" i="9"/>
  <c r="I1518" i="9"/>
  <c r="I1517" i="9"/>
  <c r="I1516" i="9"/>
  <c r="F1516" i="9"/>
  <c r="F1515" i="9" s="1"/>
  <c r="E1516" i="9"/>
  <c r="I1515" i="9"/>
  <c r="G1514" i="9"/>
  <c r="G1513" i="9" s="1"/>
  <c r="F1514" i="9"/>
  <c r="F1513" i="9" s="1"/>
  <c r="I1512" i="9"/>
  <c r="I1511" i="9"/>
  <c r="I1510" i="9"/>
  <c r="I1509" i="9"/>
  <c r="I1508" i="9"/>
  <c r="F1508" i="9"/>
  <c r="E1508" i="9"/>
  <c r="I1507" i="9"/>
  <c r="I1506" i="9"/>
  <c r="I1505" i="9"/>
  <c r="I1504" i="9"/>
  <c r="I1503" i="9"/>
  <c r="I1502" i="9"/>
  <c r="I1501" i="9"/>
  <c r="F1501" i="9"/>
  <c r="E1501" i="9"/>
  <c r="E1500" i="9" s="1"/>
  <c r="I1500" i="9"/>
  <c r="F1500" i="9"/>
  <c r="I1499" i="9"/>
  <c r="I1498" i="9"/>
  <c r="I1497" i="9"/>
  <c r="I1496" i="9"/>
  <c r="I1495" i="9"/>
  <c r="I1494" i="9"/>
  <c r="F1494" i="9"/>
  <c r="E1494" i="9"/>
  <c r="I1493" i="9"/>
  <c r="I1492" i="9"/>
  <c r="H1491" i="9"/>
  <c r="G1491" i="9"/>
  <c r="I1491" i="9" s="1"/>
  <c r="F1491" i="9"/>
  <c r="E1491" i="9"/>
  <c r="I1489" i="9"/>
  <c r="I1487" i="9"/>
  <c r="I1486" i="9"/>
  <c r="I1485" i="9"/>
  <c r="I1484" i="9"/>
  <c r="I1483" i="9"/>
  <c r="I1482" i="9"/>
  <c r="I1481" i="9"/>
  <c r="I1480" i="9"/>
  <c r="I1479" i="9"/>
  <c r="I1478" i="9"/>
  <c r="I1477" i="9"/>
  <c r="I1476" i="9"/>
  <c r="I1475" i="9"/>
  <c r="I1474" i="9"/>
  <c r="I1473" i="9"/>
  <c r="H1472" i="9"/>
  <c r="G1472" i="9"/>
  <c r="F1472" i="9"/>
  <c r="E1472" i="9"/>
  <c r="I1470" i="9"/>
  <c r="I1469" i="9"/>
  <c r="I1468" i="9"/>
  <c r="I1467" i="9"/>
  <c r="I1466" i="9"/>
  <c r="I1465" i="9"/>
  <c r="H1464" i="9"/>
  <c r="G1464" i="9"/>
  <c r="F1464" i="9"/>
  <c r="E1464" i="9"/>
  <c r="E1463" i="9" s="1"/>
  <c r="E1462" i="9" s="1"/>
  <c r="E1461" i="9" s="1"/>
  <c r="I1460" i="9"/>
  <c r="I1459" i="9"/>
  <c r="I1458" i="9"/>
  <c r="F1458" i="9"/>
  <c r="E1458" i="9"/>
  <c r="I1457" i="9"/>
  <c r="I1456" i="9"/>
  <c r="I1455" i="9"/>
  <c r="I1454" i="9"/>
  <c r="H1452" i="9"/>
  <c r="G1452" i="9"/>
  <c r="G1451" i="9" s="1"/>
  <c r="F1452" i="9"/>
  <c r="E1452" i="9"/>
  <c r="E1451" i="9" s="1"/>
  <c r="F1451" i="9"/>
  <c r="G1449" i="9"/>
  <c r="I1449" i="9" s="1"/>
  <c r="G1448" i="9"/>
  <c r="I1448" i="9" s="1"/>
  <c r="I1447" i="9"/>
  <c r="G1447" i="9"/>
  <c r="G1446" i="9"/>
  <c r="I1446" i="9" s="1"/>
  <c r="G1444" i="9"/>
  <c r="I1444" i="9" s="1"/>
  <c r="G1443" i="9"/>
  <c r="I1443" i="9" s="1"/>
  <c r="I1442" i="9"/>
  <c r="G1442" i="9"/>
  <c r="G1441" i="9"/>
  <c r="I1441" i="9" s="1"/>
  <c r="I1439" i="9"/>
  <c r="I1438" i="9"/>
  <c r="I1437" i="9"/>
  <c r="I1436" i="9"/>
  <c r="G1436" i="9"/>
  <c r="G1435" i="9"/>
  <c r="I1435" i="9" s="1"/>
  <c r="I1434" i="9"/>
  <c r="I1433" i="9"/>
  <c r="G1433" i="9"/>
  <c r="G1432" i="9"/>
  <c r="I1432" i="9" s="1"/>
  <c r="I1431" i="9"/>
  <c r="G1431" i="9"/>
  <c r="G1430" i="9"/>
  <c r="I1430" i="9" s="1"/>
  <c r="I1429" i="9"/>
  <c r="I1428" i="9"/>
  <c r="G1427" i="9"/>
  <c r="I1427" i="9" s="1"/>
  <c r="I1426" i="9"/>
  <c r="I1425" i="9"/>
  <c r="G1424" i="9"/>
  <c r="I1424" i="9" s="1"/>
  <c r="I1423" i="9"/>
  <c r="I1422" i="9"/>
  <c r="G1421" i="9"/>
  <c r="I1421" i="9" s="1"/>
  <c r="I1420" i="9"/>
  <c r="I1419" i="9"/>
  <c r="G1418" i="9"/>
  <c r="I1418" i="9" s="1"/>
  <c r="I1417" i="9"/>
  <c r="I1416" i="9"/>
  <c r="G1415" i="9"/>
  <c r="I1415" i="9" s="1"/>
  <c r="I1414" i="9"/>
  <c r="I1413" i="9"/>
  <c r="G1412" i="9"/>
  <c r="I1410" i="9"/>
  <c r="I1409" i="9"/>
  <c r="I1408" i="9"/>
  <c r="I1407" i="9"/>
  <c r="H1406" i="9"/>
  <c r="F1406" i="9"/>
  <c r="E1406" i="9"/>
  <c r="I1404" i="9"/>
  <c r="H1403" i="9"/>
  <c r="I1403" i="9" s="1"/>
  <c r="G1403" i="9"/>
  <c r="F1403" i="9"/>
  <c r="E1403" i="9"/>
  <c r="I1401" i="9"/>
  <c r="I1399" i="9"/>
  <c r="I1398" i="9"/>
  <c r="I1397" i="9"/>
  <c r="I1396" i="9"/>
  <c r="I1395" i="9"/>
  <c r="I1394" i="9"/>
  <c r="I1393" i="9"/>
  <c r="I1392" i="9"/>
  <c r="I1391" i="9"/>
  <c r="I1390" i="9"/>
  <c r="I1389" i="9"/>
  <c r="I1388" i="9"/>
  <c r="H1388" i="9"/>
  <c r="G1388" i="9"/>
  <c r="F1388" i="9"/>
  <c r="E1388" i="9"/>
  <c r="I1386" i="9"/>
  <c r="I1385" i="9"/>
  <c r="I1384" i="9"/>
  <c r="I1383" i="9"/>
  <c r="I1382" i="9"/>
  <c r="H1381" i="9"/>
  <c r="G1381" i="9"/>
  <c r="F1381" i="9"/>
  <c r="F1380" i="9" s="1"/>
  <c r="F1379" i="9" s="1"/>
  <c r="F1378" i="9" s="1"/>
  <c r="E1381" i="9"/>
  <c r="I1377" i="9"/>
  <c r="I1376" i="9"/>
  <c r="H1375" i="9"/>
  <c r="H1374" i="9" s="1"/>
  <c r="G1375" i="9"/>
  <c r="G1374" i="9" s="1"/>
  <c r="F1375" i="9"/>
  <c r="E1375" i="9"/>
  <c r="E1374" i="9" s="1"/>
  <c r="F1374" i="9"/>
  <c r="I1373" i="9"/>
  <c r="I1372" i="9"/>
  <c r="I1371" i="9"/>
  <c r="I1370" i="9"/>
  <c r="I1369" i="9"/>
  <c r="I1368" i="9"/>
  <c r="I1367" i="9"/>
  <c r="I1366" i="9"/>
  <c r="I1365" i="9"/>
  <c r="I1364" i="9"/>
  <c r="I1363" i="9"/>
  <c r="I1362" i="9"/>
  <c r="I1361" i="9"/>
  <c r="I1360" i="9"/>
  <c r="I1359" i="9"/>
  <c r="I1358" i="9"/>
  <c r="I1357" i="9"/>
  <c r="I1356" i="9"/>
  <c r="F1356" i="9"/>
  <c r="E1356" i="9"/>
  <c r="I1354" i="9"/>
  <c r="I1353" i="9"/>
  <c r="H1352" i="9"/>
  <c r="G1352" i="9"/>
  <c r="F1352" i="9"/>
  <c r="E1352" i="9"/>
  <c r="E1349" i="9" s="1"/>
  <c r="I1350" i="9"/>
  <c r="H1349" i="9"/>
  <c r="G1349" i="9"/>
  <c r="I1349" i="9" s="1"/>
  <c r="F1349" i="9"/>
  <c r="I1347" i="9"/>
  <c r="I1346" i="9"/>
  <c r="I1345" i="9"/>
  <c r="I1344" i="9"/>
  <c r="I1343" i="9"/>
  <c r="I1342" i="9"/>
  <c r="I1341" i="9"/>
  <c r="I1340" i="9"/>
  <c r="I1339" i="9"/>
  <c r="I1338" i="9"/>
  <c r="I1337" i="9"/>
  <c r="I1336" i="9"/>
  <c r="I1335" i="9"/>
  <c r="I1334" i="9"/>
  <c r="I1333" i="9"/>
  <c r="I1332" i="9"/>
  <c r="I1331" i="9"/>
  <c r="I1330" i="9"/>
  <c r="H1329" i="9"/>
  <c r="G1329" i="9"/>
  <c r="I1329" i="9" s="1"/>
  <c r="F1329" i="9"/>
  <c r="E1329" i="9"/>
  <c r="I1327" i="9"/>
  <c r="I1326" i="9"/>
  <c r="I1325" i="9"/>
  <c r="I1324" i="9"/>
  <c r="I1323" i="9"/>
  <c r="I1322" i="9"/>
  <c r="I1321" i="9"/>
  <c r="H1321" i="9"/>
  <c r="H1320" i="9" s="1"/>
  <c r="G1321" i="9"/>
  <c r="F1321" i="9"/>
  <c r="E1321" i="9"/>
  <c r="I1317" i="9"/>
  <c r="I1316" i="9"/>
  <c r="H1316" i="9"/>
  <c r="G1316" i="9"/>
  <c r="F1316" i="9"/>
  <c r="E1316" i="9"/>
  <c r="I1314" i="9"/>
  <c r="I1313" i="9"/>
  <c r="I1312" i="9"/>
  <c r="I1311" i="9"/>
  <c r="H1310" i="9"/>
  <c r="G1310" i="9"/>
  <c r="F1310" i="9"/>
  <c r="E1310" i="9"/>
  <c r="I1308" i="9"/>
  <c r="I1307" i="9"/>
  <c r="I1306" i="9"/>
  <c r="I1305" i="9"/>
  <c r="I1304" i="9"/>
  <c r="I1303" i="9"/>
  <c r="H1303" i="9"/>
  <c r="G1303" i="9"/>
  <c r="F1303" i="9"/>
  <c r="F1302" i="9" s="1"/>
  <c r="F1301" i="9" s="1"/>
  <c r="F1300" i="9" s="1"/>
  <c r="E1303" i="9"/>
  <c r="I1299" i="9"/>
  <c r="H1298" i="9"/>
  <c r="G1298" i="9"/>
  <c r="F1298" i="9"/>
  <c r="F1297" i="9" s="1"/>
  <c r="F1296" i="9" s="1"/>
  <c r="F1295" i="9" s="1"/>
  <c r="E1298" i="9"/>
  <c r="E1297" i="9" s="1"/>
  <c r="E1296" i="9" s="1"/>
  <c r="E1295" i="9" s="1"/>
  <c r="H1297" i="9"/>
  <c r="I1294" i="9"/>
  <c r="I1293" i="9"/>
  <c r="F1293" i="9"/>
  <c r="E1293" i="9"/>
  <c r="I1292" i="9"/>
  <c r="I1291" i="9"/>
  <c r="I1290" i="9"/>
  <c r="I1289" i="9"/>
  <c r="I1288" i="9"/>
  <c r="I1287" i="9"/>
  <c r="F1287" i="9"/>
  <c r="E1287" i="9"/>
  <c r="I1286" i="9"/>
  <c r="I1285" i="9"/>
  <c r="I1284" i="9"/>
  <c r="I1283" i="9"/>
  <c r="I1282" i="9"/>
  <c r="I1281" i="9"/>
  <c r="F1281" i="9"/>
  <c r="F1280" i="9" s="1"/>
  <c r="F1279" i="9" s="1"/>
  <c r="F1278" i="9" s="1"/>
  <c r="E1281" i="9"/>
  <c r="E1280" i="9" s="1"/>
  <c r="I1280" i="9"/>
  <c r="I1279" i="9"/>
  <c r="I1278" i="9"/>
  <c r="I1277" i="9"/>
  <c r="H1276" i="9"/>
  <c r="G1276" i="9"/>
  <c r="G1275" i="9" s="1"/>
  <c r="G1274" i="9" s="1"/>
  <c r="F1276" i="9"/>
  <c r="F1275" i="9" s="1"/>
  <c r="E1276" i="9"/>
  <c r="E1275" i="9" s="1"/>
  <c r="E1274" i="9" s="1"/>
  <c r="F1274" i="9"/>
  <c r="I1273" i="9"/>
  <c r="I1272" i="9"/>
  <c r="F1272" i="9"/>
  <c r="F1271" i="9" s="1"/>
  <c r="E1272" i="9"/>
  <c r="I1271" i="9"/>
  <c r="E1271" i="9"/>
  <c r="I1270" i="9"/>
  <c r="I1269" i="9"/>
  <c r="H1268" i="9"/>
  <c r="I1268" i="9" s="1"/>
  <c r="G1268" i="9"/>
  <c r="F1268" i="9"/>
  <c r="E1268" i="9"/>
  <c r="I1266" i="9"/>
  <c r="I1265" i="9"/>
  <c r="I1264" i="9"/>
  <c r="I1263" i="9"/>
  <c r="I1262" i="9"/>
  <c r="I1261" i="9"/>
  <c r="I1260" i="9"/>
  <c r="I1259" i="9"/>
  <c r="I1258" i="9"/>
  <c r="I1257" i="9"/>
  <c r="I1256" i="9"/>
  <c r="I1255" i="9"/>
  <c r="I1254" i="9"/>
  <c r="I1253" i="9"/>
  <c r="H1252" i="9"/>
  <c r="G1252" i="9"/>
  <c r="F1252" i="9"/>
  <c r="E1252" i="9"/>
  <c r="I1250" i="9"/>
  <c r="I1249" i="9"/>
  <c r="I1248" i="9"/>
  <c r="I1247" i="9"/>
  <c r="I1246" i="9"/>
  <c r="I1245" i="9"/>
  <c r="H1244" i="9"/>
  <c r="G1244" i="9"/>
  <c r="G1243" i="9" s="1"/>
  <c r="G1242" i="9" s="1"/>
  <c r="G1241" i="9" s="1"/>
  <c r="F1244" i="9"/>
  <c r="F1243" i="9" s="1"/>
  <c r="F1242" i="9" s="1"/>
  <c r="E1244" i="9"/>
  <c r="I1240" i="9"/>
  <c r="H1239" i="9"/>
  <c r="H1238" i="9" s="1"/>
  <c r="G1239" i="9"/>
  <c r="G1238" i="9" s="1"/>
  <c r="F1239" i="9"/>
  <c r="F1238" i="9" s="1"/>
  <c r="E1239" i="9"/>
  <c r="E1238" i="9"/>
  <c r="I1236" i="9"/>
  <c r="H1235" i="9"/>
  <c r="G1235" i="9"/>
  <c r="F1235" i="9"/>
  <c r="F1234" i="9" s="1"/>
  <c r="E1235" i="9"/>
  <c r="E1234" i="9" s="1"/>
  <c r="H1234" i="9"/>
  <c r="E1233" i="9"/>
  <c r="I1231" i="9"/>
  <c r="H1230" i="9"/>
  <c r="G1230" i="9"/>
  <c r="G1229" i="9" s="1"/>
  <c r="F1230" i="9"/>
  <c r="F1229" i="9" s="1"/>
  <c r="E1230" i="9"/>
  <c r="E1229" i="9" s="1"/>
  <c r="I1227" i="9"/>
  <c r="I1226" i="9"/>
  <c r="H1226" i="9"/>
  <c r="G1226" i="9"/>
  <c r="F1226" i="9"/>
  <c r="F1225" i="9" s="1"/>
  <c r="F1224" i="9" s="1"/>
  <c r="F1223" i="9" s="1"/>
  <c r="F1222" i="9" s="1"/>
  <c r="E1226" i="9"/>
  <c r="E1225" i="9" s="1"/>
  <c r="E1224" i="9" s="1"/>
  <c r="H1225" i="9"/>
  <c r="G1225" i="9"/>
  <c r="G1224" i="9" s="1"/>
  <c r="H1220" i="9"/>
  <c r="G1220" i="9"/>
  <c r="G1219" i="9" s="1"/>
  <c r="F1220" i="9"/>
  <c r="F1219" i="9" s="1"/>
  <c r="F1218" i="9" s="1"/>
  <c r="E1220" i="9"/>
  <c r="H1219" i="9"/>
  <c r="H1218" i="9" s="1"/>
  <c r="E1219" i="9"/>
  <c r="E1218" i="9" s="1"/>
  <c r="G1218" i="9"/>
  <c r="G1213" i="9" s="1"/>
  <c r="I1217" i="9"/>
  <c r="H1216" i="9"/>
  <c r="H1215" i="9" s="1"/>
  <c r="G1216" i="9"/>
  <c r="I1216" i="9" s="1"/>
  <c r="F1216" i="9"/>
  <c r="E1216" i="9"/>
  <c r="E1215" i="9" s="1"/>
  <c r="E1214" i="9" s="1"/>
  <c r="E1213" i="9" s="1"/>
  <c r="G1215" i="9"/>
  <c r="G1214" i="9" s="1"/>
  <c r="F1215" i="9"/>
  <c r="F1214" i="9" s="1"/>
  <c r="I1212" i="9"/>
  <c r="H1211" i="9"/>
  <c r="H1210" i="9" s="1"/>
  <c r="G1211" i="9"/>
  <c r="F1211" i="9"/>
  <c r="E1211" i="9"/>
  <c r="E1210" i="9" s="1"/>
  <c r="E1209" i="9" s="1"/>
  <c r="G1210" i="9"/>
  <c r="G1209" i="9" s="1"/>
  <c r="F1210" i="9"/>
  <c r="F1209" i="9" s="1"/>
  <c r="I1208" i="9"/>
  <c r="H1207" i="9"/>
  <c r="I1207" i="9" s="1"/>
  <c r="G1207" i="9"/>
  <c r="F1207" i="9"/>
  <c r="I1205" i="9"/>
  <c r="I1204" i="9"/>
  <c r="H1203" i="9"/>
  <c r="G1203" i="9"/>
  <c r="G1201" i="9" s="1"/>
  <c r="G1200" i="9" s="1"/>
  <c r="G1199" i="9" s="1"/>
  <c r="F1203" i="9"/>
  <c r="F1201" i="9" s="1"/>
  <c r="F1200" i="9" s="1"/>
  <c r="E1203" i="9"/>
  <c r="E1201" i="9"/>
  <c r="E1200" i="9" s="1"/>
  <c r="E1199" i="9" s="1"/>
  <c r="F1199" i="9"/>
  <c r="H1197" i="9"/>
  <c r="G1197" i="9"/>
  <c r="F1197" i="9"/>
  <c r="F1196" i="9" s="1"/>
  <c r="E1197" i="9"/>
  <c r="H1196" i="9"/>
  <c r="G1196" i="9"/>
  <c r="E1196" i="9"/>
  <c r="I1195" i="9"/>
  <c r="H1194" i="9"/>
  <c r="H1193" i="9" s="1"/>
  <c r="G1194" i="9"/>
  <c r="F1194" i="9"/>
  <c r="F1193" i="9" s="1"/>
  <c r="E1194" i="9"/>
  <c r="G1193" i="9"/>
  <c r="E1193" i="9"/>
  <c r="E1192" i="9" s="1"/>
  <c r="I1191" i="9"/>
  <c r="E1191" i="9"/>
  <c r="E1190" i="9" s="1"/>
  <c r="E1189" i="9" s="1"/>
  <c r="H1190" i="9"/>
  <c r="G1190" i="9"/>
  <c r="G1189" i="9" s="1"/>
  <c r="F1190" i="9"/>
  <c r="F1189" i="9"/>
  <c r="I1187" i="9"/>
  <c r="H1186" i="9"/>
  <c r="H1185" i="9" s="1"/>
  <c r="G1186" i="9"/>
  <c r="F1186" i="9"/>
  <c r="E1186" i="9"/>
  <c r="F1185" i="9"/>
  <c r="E1185" i="9"/>
  <c r="E1184" i="9" s="1"/>
  <c r="I1183" i="9"/>
  <c r="I1182" i="9"/>
  <c r="H1182" i="9"/>
  <c r="H1181" i="9" s="1"/>
  <c r="H1180" i="9" s="1"/>
  <c r="G1182" i="9"/>
  <c r="F1182" i="9"/>
  <c r="F1181" i="9" s="1"/>
  <c r="F1180" i="9" s="1"/>
  <c r="E1182" i="9"/>
  <c r="E1181" i="9" s="1"/>
  <c r="E1180" i="9" s="1"/>
  <c r="I1181" i="9"/>
  <c r="G1181" i="9"/>
  <c r="G1180" i="9" s="1"/>
  <c r="I1179" i="9"/>
  <c r="H1178" i="9"/>
  <c r="G1178" i="9"/>
  <c r="G1177" i="9" s="1"/>
  <c r="F1178" i="9"/>
  <c r="E1178" i="9"/>
  <c r="F1177" i="9"/>
  <c r="F1172" i="9" s="1"/>
  <c r="E1177" i="9"/>
  <c r="E1172" i="9" s="1"/>
  <c r="I1176" i="9"/>
  <c r="I1175" i="9"/>
  <c r="I1174" i="9"/>
  <c r="I1173" i="9"/>
  <c r="G1172" i="9"/>
  <c r="I1171" i="9"/>
  <c r="H1170" i="9"/>
  <c r="H1169" i="9" s="1"/>
  <c r="G1170" i="9"/>
  <c r="F1170" i="9"/>
  <c r="E1170" i="9"/>
  <c r="F1169" i="9"/>
  <c r="E1169" i="9"/>
  <c r="I1168" i="9"/>
  <c r="H1167" i="9"/>
  <c r="H1166" i="9" s="1"/>
  <c r="H1165" i="9" s="1"/>
  <c r="G1167" i="9"/>
  <c r="G1166" i="9" s="1"/>
  <c r="F1167" i="9"/>
  <c r="F1166" i="9" s="1"/>
  <c r="E1167" i="9"/>
  <c r="E1166" i="9"/>
  <c r="E1165" i="9" s="1"/>
  <c r="F1165" i="9"/>
  <c r="I1163" i="9"/>
  <c r="I1162" i="9"/>
  <c r="I1161" i="9"/>
  <c r="F1161" i="9"/>
  <c r="F1160" i="9" s="1"/>
  <c r="F1159" i="9" s="1"/>
  <c r="F1158" i="9" s="1"/>
  <c r="F1157" i="9" s="1"/>
  <c r="E1161" i="9"/>
  <c r="E1160" i="9" s="1"/>
  <c r="E1159" i="9" s="1"/>
  <c r="E1158" i="9" s="1"/>
  <c r="E1157" i="9" s="1"/>
  <c r="I1160" i="9"/>
  <c r="I1159" i="9"/>
  <c r="H1158" i="9"/>
  <c r="I1158" i="9" s="1"/>
  <c r="G1158" i="9"/>
  <c r="G1157" i="9" s="1"/>
  <c r="H1157" i="9"/>
  <c r="I1157" i="9" s="1"/>
  <c r="I1156" i="9"/>
  <c r="I1154" i="9"/>
  <c r="G1154" i="9"/>
  <c r="G1153" i="9"/>
  <c r="I1153" i="9" s="1"/>
  <c r="I1152" i="9"/>
  <c r="G1152" i="9"/>
  <c r="G1151" i="9"/>
  <c r="I1151" i="9" s="1"/>
  <c r="I1150" i="9"/>
  <c r="G1150" i="9"/>
  <c r="G1149" i="9"/>
  <c r="I1149" i="9" s="1"/>
  <c r="I1148" i="9"/>
  <c r="G1148" i="9"/>
  <c r="G1147" i="9"/>
  <c r="I1147" i="9" s="1"/>
  <c r="I1146" i="9"/>
  <c r="G1146" i="9"/>
  <c r="G1145" i="9"/>
  <c r="H1144" i="9"/>
  <c r="F1144" i="9"/>
  <c r="E1144" i="9"/>
  <c r="I1142" i="9"/>
  <c r="H1141" i="9"/>
  <c r="G1141" i="9"/>
  <c r="F1141" i="9"/>
  <c r="E1141" i="9"/>
  <c r="I1139" i="9"/>
  <c r="I1138" i="9"/>
  <c r="I1137" i="9"/>
  <c r="I1136" i="9"/>
  <c r="E1136" i="9"/>
  <c r="E1125" i="9" s="1"/>
  <c r="E1124" i="9" s="1"/>
  <c r="I1135" i="9"/>
  <c r="I1134" i="9"/>
  <c r="E1134" i="9"/>
  <c r="I1133" i="9"/>
  <c r="I1132" i="9"/>
  <c r="I1131" i="9"/>
  <c r="I1130" i="9"/>
  <c r="I1129" i="9"/>
  <c r="I1128" i="9"/>
  <c r="I1127" i="9"/>
  <c r="I1126" i="9"/>
  <c r="H1125" i="9"/>
  <c r="G1125" i="9"/>
  <c r="F1125" i="9"/>
  <c r="F1124" i="9" s="1"/>
  <c r="F1033" i="9" s="1"/>
  <c r="G1122" i="9"/>
  <c r="I1122" i="9" s="1"/>
  <c r="I1121" i="9"/>
  <c r="G1121" i="9"/>
  <c r="G1120" i="9"/>
  <c r="I1120" i="9" s="1"/>
  <c r="G1119" i="9"/>
  <c r="I1119" i="9" s="1"/>
  <c r="G1118" i="9"/>
  <c r="I1118" i="9" s="1"/>
  <c r="E1118" i="9"/>
  <c r="I1117" i="9"/>
  <c r="G1117" i="9"/>
  <c r="E1117" i="9"/>
  <c r="G1116" i="9"/>
  <c r="I1116" i="9" s="1"/>
  <c r="G1115" i="9"/>
  <c r="I1115" i="9" s="1"/>
  <c r="G1114" i="9"/>
  <c r="I1114" i="9" s="1"/>
  <c r="G1110" i="9"/>
  <c r="I1110" i="9" s="1"/>
  <c r="E1110" i="9"/>
  <c r="I1109" i="9"/>
  <c r="G1109" i="9"/>
  <c r="E1109" i="9"/>
  <c r="I1108" i="9"/>
  <c r="G1108" i="9"/>
  <c r="E1108" i="9"/>
  <c r="G1107" i="9"/>
  <c r="I1107" i="9" s="1"/>
  <c r="I1106" i="9"/>
  <c r="G1106" i="9"/>
  <c r="G1105" i="9"/>
  <c r="I1105" i="9" s="1"/>
  <c r="E1105" i="9"/>
  <c r="G1101" i="9"/>
  <c r="I1101" i="9" s="1"/>
  <c r="E1101" i="9"/>
  <c r="I1100" i="9"/>
  <c r="G1100" i="9"/>
  <c r="E1100" i="9"/>
  <c r="G1099" i="9"/>
  <c r="I1099" i="9" s="1"/>
  <c r="E1099" i="9"/>
  <c r="G1098" i="9"/>
  <c r="I1098" i="9" s="1"/>
  <c r="E1098" i="9"/>
  <c r="G1096" i="9"/>
  <c r="I1096" i="9" s="1"/>
  <c r="E1096" i="9"/>
  <c r="I1095" i="9"/>
  <c r="G1095" i="9"/>
  <c r="E1095" i="9"/>
  <c r="G1094" i="9"/>
  <c r="I1094" i="9" s="1"/>
  <c r="I1093" i="9"/>
  <c r="I1092" i="9"/>
  <c r="G1091" i="9"/>
  <c r="I1091" i="9" s="1"/>
  <c r="G1090" i="9"/>
  <c r="I1090" i="9" s="1"/>
  <c r="E1090" i="9"/>
  <c r="G1089" i="9"/>
  <c r="I1089" i="9" s="1"/>
  <c r="G1086" i="9"/>
  <c r="I1086" i="9" s="1"/>
  <c r="G1085" i="9"/>
  <c r="I1085" i="9" s="1"/>
  <c r="E1085" i="9"/>
  <c r="G1084" i="9"/>
  <c r="I1084" i="9" s="1"/>
  <c r="E1084" i="9"/>
  <c r="G1083" i="9"/>
  <c r="I1083" i="9" s="1"/>
  <c r="I1082" i="9"/>
  <c r="G1081" i="9"/>
  <c r="I1081" i="9" s="1"/>
  <c r="G1080" i="9"/>
  <c r="I1080" i="9" s="1"/>
  <c r="G1078" i="9"/>
  <c r="I1078" i="9" s="1"/>
  <c r="E1078" i="9"/>
  <c r="G1077" i="9"/>
  <c r="I1077" i="9" s="1"/>
  <c r="E1077" i="9"/>
  <c r="G1076" i="9"/>
  <c r="I1076" i="9" s="1"/>
  <c r="G1075" i="9"/>
  <c r="I1075" i="9" s="1"/>
  <c r="E1075" i="9"/>
  <c r="G1074" i="9"/>
  <c r="I1074" i="9" s="1"/>
  <c r="E1074" i="9"/>
  <c r="G1073" i="9"/>
  <c r="I1073" i="9" s="1"/>
  <c r="G1072" i="9"/>
  <c r="I1072" i="9" s="1"/>
  <c r="I1071" i="9"/>
  <c r="G1071" i="9"/>
  <c r="E1071" i="9"/>
  <c r="G1070" i="9"/>
  <c r="I1070" i="9" s="1"/>
  <c r="E1070" i="9"/>
  <c r="G1069" i="9"/>
  <c r="I1069" i="9" s="1"/>
  <c r="E1069" i="9"/>
  <c r="I1068" i="9"/>
  <c r="G1068" i="9"/>
  <c r="G1066" i="9"/>
  <c r="I1066" i="9" s="1"/>
  <c r="I1065" i="9"/>
  <c r="G1065" i="9"/>
  <c r="G1064" i="9"/>
  <c r="I1064" i="9" s="1"/>
  <c r="I1063" i="9"/>
  <c r="G1063" i="9"/>
  <c r="G1062" i="9"/>
  <c r="I1062" i="9" s="1"/>
  <c r="I1061" i="9"/>
  <c r="G1060" i="9"/>
  <c r="I1060" i="9" s="1"/>
  <c r="H1059" i="9"/>
  <c r="F1059" i="9"/>
  <c r="I1057" i="9"/>
  <c r="H1056" i="9"/>
  <c r="G1056" i="9"/>
  <c r="F1056" i="9"/>
  <c r="E1056" i="9"/>
  <c r="I1054" i="9"/>
  <c r="I1053" i="9"/>
  <c r="I1052" i="9"/>
  <c r="I1051" i="9"/>
  <c r="I1050" i="9"/>
  <c r="E1050" i="9"/>
  <c r="I1049" i="9"/>
  <c r="I1048" i="9"/>
  <c r="I1047" i="9"/>
  <c r="E1047" i="9"/>
  <c r="I1046" i="9"/>
  <c r="E1046" i="9"/>
  <c r="I1044" i="9"/>
  <c r="E1044" i="9"/>
  <c r="I1043" i="9"/>
  <c r="E1043" i="9"/>
  <c r="I1042" i="9"/>
  <c r="E1042" i="9"/>
  <c r="E1039" i="9" s="1"/>
  <c r="I1041" i="9"/>
  <c r="I1040" i="9"/>
  <c r="H1039" i="9"/>
  <c r="G1039" i="9"/>
  <c r="F1039" i="9"/>
  <c r="I1037" i="9"/>
  <c r="E1037" i="9"/>
  <c r="E1036" i="9" s="1"/>
  <c r="H1036" i="9"/>
  <c r="H1035" i="9" s="1"/>
  <c r="G1036" i="9"/>
  <c r="F1036" i="9"/>
  <c r="F1035" i="9" s="1"/>
  <c r="F1034" i="9" s="1"/>
  <c r="I1032" i="9"/>
  <c r="H1031" i="9"/>
  <c r="G1031" i="9"/>
  <c r="F1031" i="9"/>
  <c r="E1031" i="9"/>
  <c r="I1029" i="9"/>
  <c r="I1026" i="9"/>
  <c r="I1025" i="9"/>
  <c r="I1024" i="9"/>
  <c r="H1023" i="9"/>
  <c r="G1023" i="9"/>
  <c r="G1016" i="9" s="1"/>
  <c r="G1015" i="9" s="1"/>
  <c r="G1014" i="9" s="1"/>
  <c r="F1023" i="9"/>
  <c r="E1023" i="9"/>
  <c r="I1020" i="9"/>
  <c r="I1019" i="9"/>
  <c r="I1018" i="9"/>
  <c r="I1017" i="9"/>
  <c r="H1017" i="9"/>
  <c r="G1017" i="9"/>
  <c r="F1017" i="9"/>
  <c r="E1017" i="9"/>
  <c r="F1016" i="9"/>
  <c r="F1015" i="9" s="1"/>
  <c r="F1014" i="9" s="1"/>
  <c r="I1013" i="9"/>
  <c r="H1012" i="9"/>
  <c r="H1011" i="9" s="1"/>
  <c r="I1011" i="9" s="1"/>
  <c r="G1012" i="9"/>
  <c r="F1012" i="9"/>
  <c r="F1011" i="9" s="1"/>
  <c r="E1012" i="9"/>
  <c r="E1011" i="9" s="1"/>
  <c r="G1011" i="9"/>
  <c r="I1009" i="9"/>
  <c r="I1008" i="9"/>
  <c r="I1007" i="9"/>
  <c r="I1006" i="9"/>
  <c r="H1005" i="9"/>
  <c r="G1005" i="9"/>
  <c r="F1005" i="9"/>
  <c r="E1005" i="9"/>
  <c r="I1003" i="9"/>
  <c r="H1002" i="9"/>
  <c r="G1002" i="9"/>
  <c r="G1001" i="9" s="1"/>
  <c r="G1000" i="9" s="1"/>
  <c r="G999" i="9" s="1"/>
  <c r="F1002" i="9"/>
  <c r="E1002" i="9"/>
  <c r="E1001" i="9" s="1"/>
  <c r="E1000" i="9" s="1"/>
  <c r="I998" i="9"/>
  <c r="I997" i="9"/>
  <c r="I996" i="9"/>
  <c r="I995" i="9"/>
  <c r="H994" i="9"/>
  <c r="G994" i="9"/>
  <c r="F994" i="9"/>
  <c r="E994" i="9"/>
  <c r="I992" i="9"/>
  <c r="I991" i="9"/>
  <c r="I990" i="9"/>
  <c r="I989" i="9"/>
  <c r="I988" i="9"/>
  <c r="H987" i="9"/>
  <c r="G987" i="9"/>
  <c r="G986" i="9" s="1"/>
  <c r="F987" i="9"/>
  <c r="F986" i="9" s="1"/>
  <c r="E987" i="9"/>
  <c r="E986" i="9"/>
  <c r="I984" i="9"/>
  <c r="I983" i="9"/>
  <c r="G982" i="9"/>
  <c r="I982" i="9" s="1"/>
  <c r="I981" i="9"/>
  <c r="G981" i="9"/>
  <c r="I980" i="9"/>
  <c r="I979" i="9"/>
  <c r="G978" i="9"/>
  <c r="I978" i="9" s="1"/>
  <c r="I977" i="9"/>
  <c r="G977" i="9"/>
  <c r="G976" i="9"/>
  <c r="I976" i="9" s="1"/>
  <c r="I975" i="9"/>
  <c r="G975" i="9"/>
  <c r="G974" i="9"/>
  <c r="I974" i="9" s="1"/>
  <c r="I973" i="9"/>
  <c r="G973" i="9"/>
  <c r="G972" i="9"/>
  <c r="I972" i="9" s="1"/>
  <c r="I971" i="9"/>
  <c r="G971" i="9"/>
  <c r="G970" i="9"/>
  <c r="I970" i="9" s="1"/>
  <c r="I969" i="9"/>
  <c r="G969" i="9"/>
  <c r="K968" i="9"/>
  <c r="J968" i="9"/>
  <c r="I968" i="9"/>
  <c r="E968" i="9"/>
  <c r="G967" i="9"/>
  <c r="I967" i="9" s="1"/>
  <c r="G966" i="9"/>
  <c r="I966" i="9" s="1"/>
  <c r="G965" i="9"/>
  <c r="I965" i="9" s="1"/>
  <c r="I964" i="9"/>
  <c r="G964" i="9"/>
  <c r="G963" i="9"/>
  <c r="I963" i="9" s="1"/>
  <c r="G962" i="9"/>
  <c r="I962" i="9" s="1"/>
  <c r="G961" i="9"/>
  <c r="I961" i="9" s="1"/>
  <c r="I960" i="9"/>
  <c r="G960" i="9"/>
  <c r="G959" i="9"/>
  <c r="I959" i="9" s="1"/>
  <c r="G958" i="9"/>
  <c r="I958" i="9" s="1"/>
  <c r="G957" i="9"/>
  <c r="I957" i="9" s="1"/>
  <c r="I956" i="9"/>
  <c r="G956" i="9"/>
  <c r="G955" i="9"/>
  <c r="I955" i="9" s="1"/>
  <c r="G954" i="9"/>
  <c r="I954" i="9" s="1"/>
  <c r="G953" i="9"/>
  <c r="I952" i="9"/>
  <c r="I951" i="9"/>
  <c r="I950" i="9"/>
  <c r="H949" i="9"/>
  <c r="F949" i="9"/>
  <c r="E949" i="9"/>
  <c r="I947" i="9"/>
  <c r="I946" i="9"/>
  <c r="H945" i="9"/>
  <c r="I945" i="9" s="1"/>
  <c r="G945" i="9"/>
  <c r="F945" i="9"/>
  <c r="E945" i="9"/>
  <c r="I943" i="9"/>
  <c r="I942" i="9"/>
  <c r="H941" i="9"/>
  <c r="G941" i="9"/>
  <c r="I940" i="9"/>
  <c r="I939" i="9"/>
  <c r="E939" i="9"/>
  <c r="H938" i="9"/>
  <c r="G938" i="9"/>
  <c r="E938" i="9"/>
  <c r="I937" i="9"/>
  <c r="I936" i="9"/>
  <c r="E936" i="9"/>
  <c r="I935" i="9"/>
  <c r="E935" i="9"/>
  <c r="F934" i="9"/>
  <c r="I932" i="9"/>
  <c r="E932" i="9"/>
  <c r="H931" i="9"/>
  <c r="G931" i="9"/>
  <c r="F931" i="9"/>
  <c r="F930" i="9" s="1"/>
  <c r="F929" i="9" s="1"/>
  <c r="F928" i="9" s="1"/>
  <c r="E931" i="9"/>
  <c r="I927" i="9"/>
  <c r="I926" i="9"/>
  <c r="H925" i="9"/>
  <c r="G925" i="9"/>
  <c r="F925" i="9"/>
  <c r="E925" i="9"/>
  <c r="I923" i="9"/>
  <c r="I922" i="9"/>
  <c r="I921" i="9"/>
  <c r="H920" i="9"/>
  <c r="H919" i="9" s="1"/>
  <c r="G920" i="9"/>
  <c r="F920" i="9"/>
  <c r="E920" i="9"/>
  <c r="E919" i="9" s="1"/>
  <c r="E918" i="9" s="1"/>
  <c r="E917" i="9" s="1"/>
  <c r="I916" i="9"/>
  <c r="H915" i="9"/>
  <c r="G915" i="9"/>
  <c r="G914" i="9" s="1"/>
  <c r="G913" i="9" s="1"/>
  <c r="F915" i="9"/>
  <c r="F914" i="9" s="1"/>
  <c r="F913" i="9" s="1"/>
  <c r="E915" i="9"/>
  <c r="E914" i="9"/>
  <c r="E913" i="9" s="1"/>
  <c r="I912" i="9"/>
  <c r="G911" i="9"/>
  <c r="I911" i="9" s="1"/>
  <c r="G910" i="9"/>
  <c r="I910" i="9" s="1"/>
  <c r="G909" i="9"/>
  <c r="I909" i="9" s="1"/>
  <c r="I908" i="9"/>
  <c r="G908" i="9"/>
  <c r="G907" i="9"/>
  <c r="H906" i="9"/>
  <c r="F906" i="9"/>
  <c r="E906" i="9"/>
  <c r="I904" i="9"/>
  <c r="G903" i="9"/>
  <c r="I903" i="9" s="1"/>
  <c r="I902" i="9"/>
  <c r="G902" i="9"/>
  <c r="I901" i="9"/>
  <c r="I900" i="9"/>
  <c r="G900" i="9"/>
  <c r="G899" i="9"/>
  <c r="I899" i="9" s="1"/>
  <c r="I898" i="9"/>
  <c r="E898" i="9"/>
  <c r="E897" i="9" s="1"/>
  <c r="E896" i="9" s="1"/>
  <c r="H897" i="9"/>
  <c r="H896" i="9" s="1"/>
  <c r="F897" i="9"/>
  <c r="F896" i="9" s="1"/>
  <c r="G894" i="9"/>
  <c r="I894" i="9" s="1"/>
  <c r="G893" i="9"/>
  <c r="I893" i="9" s="1"/>
  <c r="I892" i="9"/>
  <c r="G892" i="9"/>
  <c r="G891" i="9"/>
  <c r="I891" i="9" s="1"/>
  <c r="G890" i="9"/>
  <c r="I890" i="9" s="1"/>
  <c r="E890" i="9"/>
  <c r="G889" i="9"/>
  <c r="I889" i="9" s="1"/>
  <c r="E889" i="9"/>
  <c r="I888" i="9"/>
  <c r="G887" i="9"/>
  <c r="I887" i="9" s="1"/>
  <c r="I886" i="9"/>
  <c r="G885" i="9"/>
  <c r="I885" i="9" s="1"/>
  <c r="G884" i="9"/>
  <c r="I884" i="9" s="1"/>
  <c r="G883" i="9"/>
  <c r="I883" i="9" s="1"/>
  <c r="E883" i="9"/>
  <c r="I882" i="9"/>
  <c r="G882" i="9"/>
  <c r="E882" i="9"/>
  <c r="I881" i="9"/>
  <c r="I880" i="9"/>
  <c r="G879" i="9"/>
  <c r="I879" i="9" s="1"/>
  <c r="E879" i="9"/>
  <c r="G878" i="9"/>
  <c r="I878" i="9" s="1"/>
  <c r="E878" i="9"/>
  <c r="I877" i="9"/>
  <c r="G877" i="9"/>
  <c r="E877" i="9"/>
  <c r="G876" i="9"/>
  <c r="I876" i="9" s="1"/>
  <c r="E876" i="9"/>
  <c r="I875" i="9"/>
  <c r="G874" i="9"/>
  <c r="I874" i="9" s="1"/>
  <c r="E874" i="9"/>
  <c r="G873" i="9"/>
  <c r="I873" i="9" s="1"/>
  <c r="E873" i="9"/>
  <c r="G872" i="9"/>
  <c r="I872" i="9" s="1"/>
  <c r="G871" i="9"/>
  <c r="I871" i="9" s="1"/>
  <c r="G870" i="9"/>
  <c r="I870" i="9" s="1"/>
  <c r="G869" i="9"/>
  <c r="I869" i="9" s="1"/>
  <c r="I868" i="9"/>
  <c r="G868" i="9"/>
  <c r="E868" i="9"/>
  <c r="G867" i="9"/>
  <c r="I867" i="9" s="1"/>
  <c r="E867" i="9"/>
  <c r="G866" i="9"/>
  <c r="I866" i="9" s="1"/>
  <c r="E866" i="9"/>
  <c r="G865" i="9"/>
  <c r="I865" i="9" s="1"/>
  <c r="E865" i="9"/>
  <c r="I864" i="9"/>
  <c r="G864" i="9"/>
  <c r="G863" i="9"/>
  <c r="I863" i="9" s="1"/>
  <c r="I862" i="9"/>
  <c r="G862" i="9"/>
  <c r="G861" i="9"/>
  <c r="I861" i="9" s="1"/>
  <c r="I860" i="9"/>
  <c r="G860" i="9"/>
  <c r="G859" i="9"/>
  <c r="I859" i="9" s="1"/>
  <c r="I858" i="9"/>
  <c r="G858" i="9"/>
  <c r="G857" i="9"/>
  <c r="I857" i="9" s="1"/>
  <c r="I854" i="9"/>
  <c r="G854" i="9"/>
  <c r="G853" i="9"/>
  <c r="H852" i="9"/>
  <c r="F852" i="9"/>
  <c r="I850" i="9"/>
  <c r="H849" i="9"/>
  <c r="I849" i="9" s="1"/>
  <c r="G849" i="9"/>
  <c r="F849" i="9"/>
  <c r="E849" i="9"/>
  <c r="I847" i="9"/>
  <c r="I846" i="9"/>
  <c r="H845" i="9"/>
  <c r="I845" i="9" s="1"/>
  <c r="I844" i="9"/>
  <c r="I843" i="9"/>
  <c r="I842" i="9"/>
  <c r="I841" i="9"/>
  <c r="I840" i="9"/>
  <c r="I839" i="9"/>
  <c r="I838" i="9"/>
  <c r="I837" i="9"/>
  <c r="I836" i="9"/>
  <c r="I835" i="9"/>
  <c r="I834" i="9"/>
  <c r="I833" i="9"/>
  <c r="H832" i="9"/>
  <c r="E832" i="9"/>
  <c r="I831" i="9"/>
  <c r="I830" i="9"/>
  <c r="I829" i="9"/>
  <c r="I828" i="9"/>
  <c r="I827" i="9"/>
  <c r="E827" i="9"/>
  <c r="E825" i="9" s="1"/>
  <c r="I826" i="9"/>
  <c r="G825" i="9"/>
  <c r="F825" i="9"/>
  <c r="I823" i="9"/>
  <c r="E823" i="9"/>
  <c r="I822" i="9"/>
  <c r="E822" i="9"/>
  <c r="I821" i="9"/>
  <c r="E821" i="9"/>
  <c r="I820" i="9"/>
  <c r="I819" i="9"/>
  <c r="H818" i="9"/>
  <c r="G818" i="9"/>
  <c r="F818" i="9"/>
  <c r="F817" i="9" s="1"/>
  <c r="F816" i="9"/>
  <c r="F815" i="9" s="1"/>
  <c r="I814" i="9"/>
  <c r="I813" i="9"/>
  <c r="F813" i="9"/>
  <c r="E813" i="9"/>
  <c r="I812" i="9"/>
  <c r="F812" i="9"/>
  <c r="E812" i="9"/>
  <c r="I811" i="9"/>
  <c r="I810" i="9"/>
  <c r="H809" i="9"/>
  <c r="G809" i="9"/>
  <c r="I809" i="9" s="1"/>
  <c r="F809" i="9"/>
  <c r="E809" i="9"/>
  <c r="I807" i="9"/>
  <c r="I806" i="9"/>
  <c r="I804" i="9"/>
  <c r="I803" i="9"/>
  <c r="H802" i="9"/>
  <c r="H798" i="9" s="1"/>
  <c r="G802" i="9"/>
  <c r="F802" i="9"/>
  <c r="E802" i="9"/>
  <c r="H799" i="9"/>
  <c r="G799" i="9"/>
  <c r="G798" i="9" s="1"/>
  <c r="G797" i="9" s="1"/>
  <c r="G796" i="9" s="1"/>
  <c r="F799" i="9"/>
  <c r="F798" i="9" s="1"/>
  <c r="F797" i="9" s="1"/>
  <c r="F796" i="9" s="1"/>
  <c r="E799" i="9"/>
  <c r="I795" i="9"/>
  <c r="H794" i="9"/>
  <c r="G794" i="9"/>
  <c r="F794" i="9"/>
  <c r="E794" i="9"/>
  <c r="I792" i="9"/>
  <c r="I791" i="9"/>
  <c r="H790" i="9"/>
  <c r="G790" i="9"/>
  <c r="F790" i="9"/>
  <c r="E790" i="9"/>
  <c r="I788" i="9"/>
  <c r="I787" i="9"/>
  <c r="I786" i="9"/>
  <c r="I785" i="9"/>
  <c r="I784" i="9"/>
  <c r="I783" i="9"/>
  <c r="I782" i="9"/>
  <c r="H782" i="9"/>
  <c r="H781" i="9" s="1"/>
  <c r="G782" i="9"/>
  <c r="G781" i="9" s="1"/>
  <c r="G780" i="9" s="1"/>
  <c r="G779" i="9" s="1"/>
  <c r="F782" i="9"/>
  <c r="E782" i="9"/>
  <c r="E781" i="9" s="1"/>
  <c r="E780" i="9" s="1"/>
  <c r="E779" i="9" s="1"/>
  <c r="F781" i="9"/>
  <c r="F780" i="9" s="1"/>
  <c r="F779" i="9" s="1"/>
  <c r="I777" i="9"/>
  <c r="G774" i="9"/>
  <c r="I774" i="9" s="1"/>
  <c r="H773" i="9"/>
  <c r="F773" i="9"/>
  <c r="E773" i="9"/>
  <c r="I771" i="9"/>
  <c r="I770" i="9"/>
  <c r="I769" i="9"/>
  <c r="I768" i="9"/>
  <c r="H767" i="9"/>
  <c r="G767" i="9"/>
  <c r="I767" i="9" s="1"/>
  <c r="F767" i="9"/>
  <c r="F766" i="9" s="1"/>
  <c r="E767" i="9"/>
  <c r="E766" i="9" s="1"/>
  <c r="H766" i="9"/>
  <c r="G766" i="9"/>
  <c r="I764" i="9"/>
  <c r="G763" i="9"/>
  <c r="I763" i="9" s="1"/>
  <c r="I762" i="9"/>
  <c r="G761" i="9"/>
  <c r="I761" i="9" s="1"/>
  <c r="I760" i="9"/>
  <c r="G760" i="9"/>
  <c r="G759" i="9"/>
  <c r="I759" i="9" s="1"/>
  <c r="I758" i="9"/>
  <c r="G758" i="9"/>
  <c r="G757" i="9"/>
  <c r="I757" i="9" s="1"/>
  <c r="I756" i="9"/>
  <c r="G756" i="9"/>
  <c r="I755" i="9"/>
  <c r="I754" i="9"/>
  <c r="I753" i="9"/>
  <c r="G753" i="9"/>
  <c r="G752" i="9"/>
  <c r="I752" i="9" s="1"/>
  <c r="G751" i="9"/>
  <c r="I751" i="9" s="1"/>
  <c r="I750" i="9"/>
  <c r="I749" i="9"/>
  <c r="G749" i="9"/>
  <c r="E749" i="9"/>
  <c r="G748" i="9"/>
  <c r="E748" i="9"/>
  <c r="G747" i="9"/>
  <c r="I747" i="9" s="1"/>
  <c r="I746" i="9"/>
  <c r="G746" i="9"/>
  <c r="G745" i="9"/>
  <c r="I745" i="9" s="1"/>
  <c r="G744" i="9"/>
  <c r="I744" i="9" s="1"/>
  <c r="I743" i="9"/>
  <c r="I742" i="9"/>
  <c r="G741" i="9"/>
  <c r="I741" i="9" s="1"/>
  <c r="G740" i="9"/>
  <c r="I740" i="9" s="1"/>
  <c r="E740" i="9"/>
  <c r="I739" i="9"/>
  <c r="G739" i="9"/>
  <c r="E739" i="9"/>
  <c r="I738" i="9"/>
  <c r="G738" i="9"/>
  <c r="I737" i="9"/>
  <c r="E737" i="9"/>
  <c r="I736" i="9"/>
  <c r="E736" i="9"/>
  <c r="G735" i="9"/>
  <c r="I735" i="9" s="1"/>
  <c r="I734" i="9"/>
  <c r="I733" i="9"/>
  <c r="I732" i="9"/>
  <c r="E732" i="9"/>
  <c r="I731" i="9"/>
  <c r="E731" i="9"/>
  <c r="I730" i="9"/>
  <c r="I729" i="9"/>
  <c r="I728" i="9"/>
  <c r="H727" i="9"/>
  <c r="F727" i="9"/>
  <c r="I725" i="9"/>
  <c r="I724" i="9"/>
  <c r="I723" i="9"/>
  <c r="I722" i="9"/>
  <c r="H721" i="9"/>
  <c r="I721" i="9" s="1"/>
  <c r="G721" i="9"/>
  <c r="F721" i="9"/>
  <c r="E721" i="9"/>
  <c r="H718" i="9"/>
  <c r="H717" i="9" s="1"/>
  <c r="G718" i="9"/>
  <c r="G717" i="9" s="1"/>
  <c r="F718" i="9"/>
  <c r="E718" i="9"/>
  <c r="F717" i="9"/>
  <c r="E717" i="9"/>
  <c r="H716" i="9"/>
  <c r="I714" i="9"/>
  <c r="H713" i="9"/>
  <c r="I713" i="9" s="1"/>
  <c r="G713" i="9"/>
  <c r="F713" i="9"/>
  <c r="E713" i="9"/>
  <c r="I711" i="9"/>
  <c r="I710" i="9"/>
  <c r="H709" i="9"/>
  <c r="G709" i="9"/>
  <c r="F709" i="9"/>
  <c r="F708" i="9" s="1"/>
  <c r="F707" i="9" s="1"/>
  <c r="F706" i="9" s="1"/>
  <c r="E709" i="9"/>
  <c r="E708" i="9" s="1"/>
  <c r="E707" i="9" s="1"/>
  <c r="E706" i="9" s="1"/>
  <c r="H708" i="9"/>
  <c r="G708" i="9"/>
  <c r="G707" i="9" s="1"/>
  <c r="G706" i="9" s="1"/>
  <c r="I705" i="9"/>
  <c r="H704" i="9"/>
  <c r="G704" i="9"/>
  <c r="G703" i="9" s="1"/>
  <c r="G702" i="9" s="1"/>
  <c r="F704" i="9"/>
  <c r="F703" i="9" s="1"/>
  <c r="F702" i="9" s="1"/>
  <c r="E704" i="9"/>
  <c r="E703" i="9" s="1"/>
  <c r="H703" i="9"/>
  <c r="E702" i="9"/>
  <c r="I700" i="9"/>
  <c r="I699" i="9"/>
  <c r="I698" i="9"/>
  <c r="I697" i="9"/>
  <c r="G697" i="9"/>
  <c r="E697" i="9"/>
  <c r="G696" i="9"/>
  <c r="E695" i="9"/>
  <c r="E694" i="9" s="1"/>
  <c r="H694" i="9"/>
  <c r="F694" i="9"/>
  <c r="G692" i="9"/>
  <c r="I692" i="9" s="1"/>
  <c r="I691" i="9"/>
  <c r="G690" i="9"/>
  <c r="I690" i="9" s="1"/>
  <c r="I689" i="9"/>
  <c r="I688" i="9"/>
  <c r="G687" i="9"/>
  <c r="I687" i="9" s="1"/>
  <c r="E687" i="9"/>
  <c r="I686" i="9"/>
  <c r="G685" i="9"/>
  <c r="E685" i="9"/>
  <c r="E684" i="9"/>
  <c r="H683" i="9"/>
  <c r="F683" i="9"/>
  <c r="F682" i="9" s="1"/>
  <c r="E683" i="9"/>
  <c r="E682" i="9" s="1"/>
  <c r="I680" i="9"/>
  <c r="H679" i="9"/>
  <c r="I679" i="9" s="1"/>
  <c r="G679" i="9"/>
  <c r="F679" i="9"/>
  <c r="E679" i="9"/>
  <c r="I677" i="9"/>
  <c r="I676" i="9"/>
  <c r="I675" i="9"/>
  <c r="I674" i="9"/>
  <c r="I673" i="9"/>
  <c r="I672" i="9"/>
  <c r="I671" i="9"/>
  <c r="I670" i="9"/>
  <c r="I669" i="9"/>
  <c r="I668" i="9"/>
  <c r="I667" i="9"/>
  <c r="H666" i="9"/>
  <c r="G666" i="9"/>
  <c r="G665" i="9" s="1"/>
  <c r="F666" i="9"/>
  <c r="F665" i="9" s="1"/>
  <c r="E666" i="9"/>
  <c r="H665" i="9"/>
  <c r="E665" i="9"/>
  <c r="E664" i="9" s="1"/>
  <c r="E663" i="9" s="1"/>
  <c r="E662" i="9" s="1"/>
  <c r="I661" i="9"/>
  <c r="I660" i="9"/>
  <c r="F660" i="9"/>
  <c r="E660" i="9"/>
  <c r="E659" i="9" s="1"/>
  <c r="I659" i="9"/>
  <c r="F659" i="9"/>
  <c r="I658" i="9"/>
  <c r="I657" i="9"/>
  <c r="H656" i="9"/>
  <c r="H655" i="9" s="1"/>
  <c r="G656" i="9"/>
  <c r="F656" i="9"/>
  <c r="E656" i="9"/>
  <c r="E655" i="9" s="1"/>
  <c r="F655" i="9"/>
  <c r="I653" i="9"/>
  <c r="I652" i="9"/>
  <c r="H652" i="9"/>
  <c r="H651" i="9" s="1"/>
  <c r="G652" i="9"/>
  <c r="G651" i="9" s="1"/>
  <c r="I649" i="9"/>
  <c r="E649" i="9"/>
  <c r="E644" i="9" s="1"/>
  <c r="G647" i="9"/>
  <c r="G644" i="9" s="1"/>
  <c r="I646" i="9"/>
  <c r="I645" i="9"/>
  <c r="H644" i="9"/>
  <c r="I644" i="9" s="1"/>
  <c r="F644" i="9"/>
  <c r="I642" i="9"/>
  <c r="H641" i="9"/>
  <c r="G641" i="9"/>
  <c r="F641" i="9"/>
  <c r="E641" i="9"/>
  <c r="I639" i="9"/>
  <c r="I638" i="9"/>
  <c r="I637" i="9"/>
  <c r="I636" i="9"/>
  <c r="I635" i="9"/>
  <c r="I634" i="9"/>
  <c r="I633" i="9"/>
  <c r="I632" i="9"/>
  <c r="I631" i="9"/>
  <c r="I630" i="9"/>
  <c r="I629" i="9"/>
  <c r="I628" i="9"/>
  <c r="I627" i="9"/>
  <c r="H626" i="9"/>
  <c r="G626" i="9"/>
  <c r="I626" i="9" s="1"/>
  <c r="F626" i="9"/>
  <c r="E626" i="9"/>
  <c r="I624" i="9"/>
  <c r="I623" i="9"/>
  <c r="I622" i="9"/>
  <c r="I621" i="9"/>
  <c r="I620" i="9"/>
  <c r="I619" i="9"/>
  <c r="H618" i="9"/>
  <c r="G618" i="9"/>
  <c r="F618" i="9"/>
  <c r="E618" i="9"/>
  <c r="E617" i="9" s="1"/>
  <c r="E616" i="9" s="1"/>
  <c r="E615" i="9" s="1"/>
  <c r="I614" i="9"/>
  <c r="I613" i="9"/>
  <c r="H613" i="9"/>
  <c r="H612" i="9" s="1"/>
  <c r="G613" i="9"/>
  <c r="F613" i="9"/>
  <c r="F612" i="9" s="1"/>
  <c r="E613" i="9"/>
  <c r="E612" i="9" s="1"/>
  <c r="G612" i="9"/>
  <c r="I610" i="9"/>
  <c r="H609" i="9"/>
  <c r="I609" i="9" s="1"/>
  <c r="G609" i="9"/>
  <c r="F609" i="9"/>
  <c r="E609" i="9"/>
  <c r="I607" i="9"/>
  <c r="I606" i="9"/>
  <c r="I605" i="9"/>
  <c r="I604" i="9"/>
  <c r="I603" i="9"/>
  <c r="I602" i="9"/>
  <c r="I601" i="9"/>
  <c r="I600" i="9"/>
  <c r="I599" i="9"/>
  <c r="I598" i="9"/>
  <c r="I597" i="9"/>
  <c r="I596" i="9"/>
  <c r="I595" i="9"/>
  <c r="I594" i="9"/>
  <c r="I593" i="9"/>
  <c r="I592" i="9"/>
  <c r="I591" i="9"/>
  <c r="H590" i="9"/>
  <c r="G590" i="9"/>
  <c r="F590" i="9"/>
  <c r="E590" i="9"/>
  <c r="I588" i="9"/>
  <c r="I587" i="9"/>
  <c r="I586" i="9"/>
  <c r="I585" i="9"/>
  <c r="I584" i="9"/>
  <c r="I583" i="9"/>
  <c r="H582" i="9"/>
  <c r="G582" i="9"/>
  <c r="F582" i="9"/>
  <c r="E582" i="9"/>
  <c r="F581" i="9"/>
  <c r="F580" i="9" s="1"/>
  <c r="I577" i="9"/>
  <c r="I576" i="9"/>
  <c r="H575" i="9"/>
  <c r="H574" i="9" s="1"/>
  <c r="G575" i="9"/>
  <c r="G574" i="9" s="1"/>
  <c r="F575" i="9"/>
  <c r="F574" i="9" s="1"/>
  <c r="F569" i="9" s="1"/>
  <c r="E575" i="9"/>
  <c r="E574" i="9"/>
  <c r="I572" i="9"/>
  <c r="H571" i="9"/>
  <c r="G571" i="9"/>
  <c r="G570" i="9" s="1"/>
  <c r="F571" i="9"/>
  <c r="F570" i="9" s="1"/>
  <c r="E571" i="9"/>
  <c r="E570" i="9"/>
  <c r="E569" i="9"/>
  <c r="I568" i="9"/>
  <c r="E568" i="9"/>
  <c r="I567" i="9"/>
  <c r="I566" i="9"/>
  <c r="H565" i="9"/>
  <c r="G565" i="9"/>
  <c r="I565" i="9" s="1"/>
  <c r="F565" i="9"/>
  <c r="F564" i="9" s="1"/>
  <c r="E565" i="9"/>
  <c r="E564" i="9" s="1"/>
  <c r="H564" i="9"/>
  <c r="G564" i="9"/>
  <c r="I562" i="9"/>
  <c r="H561" i="9"/>
  <c r="I561" i="9" s="1"/>
  <c r="G561" i="9"/>
  <c r="F561" i="9"/>
  <c r="E561" i="9"/>
  <c r="I559" i="9"/>
  <c r="I558" i="9"/>
  <c r="I557" i="9"/>
  <c r="I556" i="9"/>
  <c r="I555" i="9"/>
  <c r="I554" i="9"/>
  <c r="I553" i="9"/>
  <c r="I552" i="9"/>
  <c r="I551" i="9"/>
  <c r="H550" i="9"/>
  <c r="G550" i="9"/>
  <c r="G548" i="9" s="1"/>
  <c r="G547" i="9" s="1"/>
  <c r="F550" i="9"/>
  <c r="F548" i="9" s="1"/>
  <c r="F547" i="9" s="1"/>
  <c r="F546" i="9" s="1"/>
  <c r="F545" i="9" s="1"/>
  <c r="E550" i="9"/>
  <c r="H548" i="9"/>
  <c r="E548" i="9"/>
  <c r="I544" i="9"/>
  <c r="I543" i="9"/>
  <c r="H542" i="9"/>
  <c r="G542" i="9"/>
  <c r="I542" i="9" s="1"/>
  <c r="F542" i="9"/>
  <c r="F541" i="9" s="1"/>
  <c r="E542" i="9"/>
  <c r="E541" i="9" s="1"/>
  <c r="H541" i="9"/>
  <c r="I539" i="9"/>
  <c r="G539" i="9"/>
  <c r="G538" i="9"/>
  <c r="I538" i="9" s="1"/>
  <c r="G537" i="9"/>
  <c r="I537" i="9" s="1"/>
  <c r="I536" i="9"/>
  <c r="G536" i="9"/>
  <c r="I535" i="9"/>
  <c r="G535" i="9"/>
  <c r="G534" i="9"/>
  <c r="I534" i="9" s="1"/>
  <c r="I533" i="9"/>
  <c r="G533" i="9"/>
  <c r="G532" i="9"/>
  <c r="I532" i="9" s="1"/>
  <c r="G531" i="9"/>
  <c r="I531" i="9" s="1"/>
  <c r="I530" i="9"/>
  <c r="G530" i="9"/>
  <c r="G529" i="9"/>
  <c r="I529" i="9" s="1"/>
  <c r="G528" i="9"/>
  <c r="I528" i="9" s="1"/>
  <c r="I527" i="9"/>
  <c r="G527" i="9"/>
  <c r="G526" i="9"/>
  <c r="I526" i="9" s="1"/>
  <c r="G525" i="9"/>
  <c r="I524" i="9"/>
  <c r="G524" i="9"/>
  <c r="I523" i="9"/>
  <c r="H522" i="9"/>
  <c r="F522" i="9"/>
  <c r="E522" i="9"/>
  <c r="I520" i="9"/>
  <c r="H519" i="9"/>
  <c r="G519" i="9"/>
  <c r="F519" i="9"/>
  <c r="E519" i="9"/>
  <c r="I517" i="9"/>
  <c r="I516" i="9"/>
  <c r="I515" i="9"/>
  <c r="I513" i="9"/>
  <c r="I512" i="9"/>
  <c r="I511" i="9"/>
  <c r="I510" i="9"/>
  <c r="H510" i="9"/>
  <c r="G510" i="9"/>
  <c r="F510" i="9"/>
  <c r="E510" i="9"/>
  <c r="I508" i="9"/>
  <c r="I507" i="9"/>
  <c r="I506" i="9"/>
  <c r="I505" i="9"/>
  <c r="I504" i="9"/>
  <c r="H503" i="9"/>
  <c r="G503" i="9"/>
  <c r="F503" i="9"/>
  <c r="E503" i="9"/>
  <c r="I499" i="9"/>
  <c r="I498" i="9"/>
  <c r="H498" i="9"/>
  <c r="H497" i="9" s="1"/>
  <c r="G498" i="9"/>
  <c r="F498" i="9"/>
  <c r="F497" i="9" s="1"/>
  <c r="E498" i="9"/>
  <c r="G497" i="9"/>
  <c r="I497" i="9" s="1"/>
  <c r="E497" i="9"/>
  <c r="G495" i="9"/>
  <c r="I495" i="9" s="1"/>
  <c r="G494" i="9"/>
  <c r="I494" i="9" s="1"/>
  <c r="G492" i="9"/>
  <c r="I491" i="9"/>
  <c r="I490" i="9"/>
  <c r="I489" i="9"/>
  <c r="I488" i="9"/>
  <c r="G487" i="9"/>
  <c r="I487" i="9" s="1"/>
  <c r="I486" i="9"/>
  <c r="G486" i="9"/>
  <c r="G484" i="9"/>
  <c r="I484" i="9" s="1"/>
  <c r="G483" i="9"/>
  <c r="I483" i="9" s="1"/>
  <c r="I482" i="9"/>
  <c r="G482" i="9"/>
  <c r="G481" i="9"/>
  <c r="I481" i="9" s="1"/>
  <c r="G480" i="9"/>
  <c r="I480" i="9" s="1"/>
  <c r="I479" i="9"/>
  <c r="G479" i="9"/>
  <c r="G478" i="9"/>
  <c r="I478" i="9" s="1"/>
  <c r="G477" i="9"/>
  <c r="I477" i="9" s="1"/>
  <c r="H476" i="9"/>
  <c r="F476" i="9"/>
  <c r="E476" i="9"/>
  <c r="I474" i="9"/>
  <c r="H473" i="9"/>
  <c r="G473" i="9"/>
  <c r="I473" i="9" s="1"/>
  <c r="F473" i="9"/>
  <c r="E473" i="9"/>
  <c r="I471" i="9"/>
  <c r="I470" i="9"/>
  <c r="I469" i="9"/>
  <c r="I468" i="9"/>
  <c r="H467" i="9"/>
  <c r="I467" i="9" s="1"/>
  <c r="G467" i="9"/>
  <c r="G466" i="9" s="1"/>
  <c r="F467" i="9"/>
  <c r="F466" i="9" s="1"/>
  <c r="E467" i="9"/>
  <c r="E466" i="9" s="1"/>
  <c r="F465" i="9"/>
  <c r="F464" i="9"/>
  <c r="I462" i="9"/>
  <c r="H461" i="9"/>
  <c r="G461" i="9"/>
  <c r="F461" i="9"/>
  <c r="E461" i="9"/>
  <c r="I459" i="9"/>
  <c r="H458" i="9"/>
  <c r="G458" i="9"/>
  <c r="F458" i="9"/>
  <c r="E458" i="9"/>
  <c r="G457" i="9"/>
  <c r="I455" i="9"/>
  <c r="H454" i="9"/>
  <c r="I454" i="9" s="1"/>
  <c r="G454" i="9"/>
  <c r="F454" i="9"/>
  <c r="E454" i="9"/>
  <c r="I452" i="9"/>
  <c r="I451" i="9"/>
  <c r="I450" i="9"/>
  <c r="H449" i="9"/>
  <c r="G449" i="9"/>
  <c r="F449" i="9"/>
  <c r="E449" i="9"/>
  <c r="I447" i="9"/>
  <c r="I446" i="9"/>
  <c r="I445" i="9"/>
  <c r="I444" i="9"/>
  <c r="H443" i="9"/>
  <c r="G443" i="9"/>
  <c r="G442" i="9" s="1"/>
  <c r="G441" i="9" s="1"/>
  <c r="G440" i="9" s="1"/>
  <c r="F443" i="9"/>
  <c r="F442" i="9" s="1"/>
  <c r="E443" i="9"/>
  <c r="E442" i="9" s="1"/>
  <c r="E441" i="9" s="1"/>
  <c r="I438" i="9"/>
  <c r="H437" i="9"/>
  <c r="G437" i="9"/>
  <c r="G436" i="9" s="1"/>
  <c r="F437" i="9"/>
  <c r="F436" i="9" s="1"/>
  <c r="E437" i="9"/>
  <c r="E436" i="9" s="1"/>
  <c r="H436" i="9"/>
  <c r="I435" i="9"/>
  <c r="H434" i="9"/>
  <c r="G434" i="9"/>
  <c r="I434" i="9" s="1"/>
  <c r="F434" i="9"/>
  <c r="E434" i="9"/>
  <c r="E430" i="9" s="1"/>
  <c r="E429" i="9" s="1"/>
  <c r="I432" i="9"/>
  <c r="H431" i="9"/>
  <c r="I431" i="9" s="1"/>
  <c r="G431" i="9"/>
  <c r="F431" i="9"/>
  <c r="I428" i="9"/>
  <c r="H427" i="9"/>
  <c r="G427" i="9"/>
  <c r="G426" i="9" s="1"/>
  <c r="G425" i="9" s="1"/>
  <c r="F427" i="9"/>
  <c r="F426" i="9" s="1"/>
  <c r="F425" i="9" s="1"/>
  <c r="E427" i="9"/>
  <c r="E426" i="9" s="1"/>
  <c r="E425" i="9" s="1"/>
  <c r="I424" i="9"/>
  <c r="H423" i="9"/>
  <c r="G423" i="9"/>
  <c r="G422" i="9" s="1"/>
  <c r="G421" i="9" s="1"/>
  <c r="F423" i="9"/>
  <c r="F422" i="9" s="1"/>
  <c r="F421" i="9" s="1"/>
  <c r="E423" i="9"/>
  <c r="E422" i="9" s="1"/>
  <c r="E421" i="9" s="1"/>
  <c r="I420" i="9"/>
  <c r="H419" i="9"/>
  <c r="G419" i="9"/>
  <c r="G418" i="9" s="1"/>
  <c r="G417" i="9" s="1"/>
  <c r="F419" i="9"/>
  <c r="F418" i="9" s="1"/>
  <c r="F417" i="9" s="1"/>
  <c r="E419" i="9"/>
  <c r="H418" i="9"/>
  <c r="H417" i="9" s="1"/>
  <c r="E418" i="9"/>
  <c r="E417" i="9" s="1"/>
  <c r="I416" i="9"/>
  <c r="H415" i="9"/>
  <c r="G415" i="9"/>
  <c r="G414" i="9" s="1"/>
  <c r="F415" i="9"/>
  <c r="F414" i="9" s="1"/>
  <c r="E415" i="9"/>
  <c r="E414" i="9" s="1"/>
  <c r="I412" i="9"/>
  <c r="H411" i="9"/>
  <c r="G411" i="9"/>
  <c r="G410" i="9" s="1"/>
  <c r="G409" i="9" s="1"/>
  <c r="F411" i="9"/>
  <c r="F410" i="9" s="1"/>
  <c r="E411" i="9"/>
  <c r="E410" i="9" s="1"/>
  <c r="I408" i="9"/>
  <c r="I407" i="9"/>
  <c r="G406" i="9"/>
  <c r="I406" i="9" s="1"/>
  <c r="I405" i="9"/>
  <c r="G405" i="9"/>
  <c r="G404" i="9"/>
  <c r="I404" i="9" s="1"/>
  <c r="I403" i="9"/>
  <c r="G403" i="9"/>
  <c r="G402" i="9"/>
  <c r="I402" i="9" s="1"/>
  <c r="I401" i="9"/>
  <c r="G401" i="9"/>
  <c r="G400" i="9"/>
  <c r="I400" i="9" s="1"/>
  <c r="I399" i="9"/>
  <c r="G399" i="9"/>
  <c r="G398" i="9"/>
  <c r="I398" i="9" s="1"/>
  <c r="H397" i="9"/>
  <c r="F397" i="9"/>
  <c r="E397" i="9"/>
  <c r="I395" i="9"/>
  <c r="I394" i="9"/>
  <c r="I393" i="9"/>
  <c r="I392" i="9"/>
  <c r="I391" i="9"/>
  <c r="I390" i="9"/>
  <c r="I389" i="9"/>
  <c r="I388" i="9"/>
  <c r="I387" i="9"/>
  <c r="I386" i="9"/>
  <c r="I385" i="9"/>
  <c r="H384" i="9"/>
  <c r="H383" i="9" s="1"/>
  <c r="I383" i="9" s="1"/>
  <c r="G384" i="9"/>
  <c r="F384" i="9"/>
  <c r="E384" i="9"/>
  <c r="E383" i="9" s="1"/>
  <c r="G383" i="9"/>
  <c r="F383" i="9"/>
  <c r="I382" i="9"/>
  <c r="I381" i="9"/>
  <c r="I380" i="9"/>
  <c r="F380" i="9"/>
  <c r="E380" i="9"/>
  <c r="I378" i="9"/>
  <c r="I377" i="9"/>
  <c r="H377" i="9"/>
  <c r="G377" i="9"/>
  <c r="F377" i="9"/>
  <c r="E377" i="9"/>
  <c r="I375" i="9"/>
  <c r="I374" i="9"/>
  <c r="I373" i="9"/>
  <c r="I372" i="9"/>
  <c r="I371" i="9"/>
  <c r="I370" i="9"/>
  <c r="I369" i="9"/>
  <c r="I368" i="9"/>
  <c r="I367" i="9"/>
  <c r="I366" i="9"/>
  <c r="I365" i="9"/>
  <c r="I363" i="9"/>
  <c r="I362" i="9"/>
  <c r="I361" i="9"/>
  <c r="I360" i="9"/>
  <c r="I359" i="9"/>
  <c r="I358" i="9"/>
  <c r="E358" i="9"/>
  <c r="I357" i="9"/>
  <c r="I356" i="9"/>
  <c r="I355" i="9"/>
  <c r="I354" i="9"/>
  <c r="I353" i="9"/>
  <c r="I352" i="9"/>
  <c r="H351" i="9"/>
  <c r="I351" i="9" s="1"/>
  <c r="G351" i="9"/>
  <c r="F351" i="9"/>
  <c r="F342" i="9" s="1"/>
  <c r="F341" i="9" s="1"/>
  <c r="F340" i="9" s="1"/>
  <c r="E351" i="9"/>
  <c r="I349" i="9"/>
  <c r="I348" i="9"/>
  <c r="I347" i="9"/>
  <c r="I346" i="9"/>
  <c r="I345" i="9"/>
  <c r="I344" i="9"/>
  <c r="H343" i="9"/>
  <c r="G343" i="9"/>
  <c r="F343" i="9"/>
  <c r="E343" i="9"/>
  <c r="G342" i="9"/>
  <c r="G341" i="9" s="1"/>
  <c r="G340" i="9" s="1"/>
  <c r="I339" i="9"/>
  <c r="H338" i="9"/>
  <c r="G338" i="9"/>
  <c r="F338" i="9"/>
  <c r="I337" i="9"/>
  <c r="H336" i="9"/>
  <c r="H335" i="9" s="1"/>
  <c r="G336" i="9"/>
  <c r="G335" i="9" s="1"/>
  <c r="F336" i="9"/>
  <c r="F335" i="9" s="1"/>
  <c r="E336" i="9"/>
  <c r="E335" i="9"/>
  <c r="E334" i="9" s="1"/>
  <c r="E333" i="9" s="1"/>
  <c r="F334" i="9"/>
  <c r="F333" i="9" s="1"/>
  <c r="I332" i="9"/>
  <c r="I331" i="9"/>
  <c r="I330" i="9"/>
  <c r="I329" i="9"/>
  <c r="I328" i="9"/>
  <c r="I327" i="9"/>
  <c r="H327" i="9"/>
  <c r="G327" i="9"/>
  <c r="F327" i="9"/>
  <c r="E327" i="9"/>
  <c r="I325" i="9"/>
  <c r="H324" i="9"/>
  <c r="G324" i="9"/>
  <c r="G323" i="9" s="1"/>
  <c r="F324" i="9"/>
  <c r="F323" i="9" s="1"/>
  <c r="E324" i="9"/>
  <c r="E323" i="9"/>
  <c r="E322" i="9"/>
  <c r="E321" i="9" s="1"/>
  <c r="I320" i="9"/>
  <c r="I319" i="9"/>
  <c r="I317" i="9"/>
  <c r="I316" i="9"/>
  <c r="I315" i="9"/>
  <c r="I314" i="9"/>
  <c r="I313" i="9"/>
  <c r="H312" i="9"/>
  <c r="I312" i="9" s="1"/>
  <c r="G312" i="9"/>
  <c r="F312" i="9"/>
  <c r="E312" i="9"/>
  <c r="I310" i="9"/>
  <c r="I309" i="9"/>
  <c r="I307" i="9"/>
  <c r="I306" i="9"/>
  <c r="I305" i="9"/>
  <c r="I304" i="9"/>
  <c r="I303" i="9"/>
  <c r="H302" i="9"/>
  <c r="G302" i="9"/>
  <c r="F302" i="9"/>
  <c r="F301" i="9" s="1"/>
  <c r="E302" i="9"/>
  <c r="E301" i="9" s="1"/>
  <c r="G301" i="9"/>
  <c r="I300" i="9"/>
  <c r="I299" i="9"/>
  <c r="I298" i="9"/>
  <c r="H298" i="9"/>
  <c r="H297" i="9" s="1"/>
  <c r="G298" i="9"/>
  <c r="F298" i="9"/>
  <c r="F297" i="9" s="1"/>
  <c r="F296" i="9" s="1"/>
  <c r="E298" i="9"/>
  <c r="E297" i="9" s="1"/>
  <c r="E296" i="9" s="1"/>
  <c r="E295" i="9" s="1"/>
  <c r="G297" i="9"/>
  <c r="G296" i="9" s="1"/>
  <c r="G295" i="9" s="1"/>
  <c r="H296" i="9"/>
  <c r="J294" i="9"/>
  <c r="I294" i="9"/>
  <c r="I293" i="9"/>
  <c r="I292" i="9"/>
  <c r="I291" i="9"/>
  <c r="H291" i="9"/>
  <c r="G291" i="9"/>
  <c r="F291" i="9"/>
  <c r="E291" i="9"/>
  <c r="I289" i="9"/>
  <c r="I288" i="9"/>
  <c r="I287" i="9"/>
  <c r="H286" i="9"/>
  <c r="G286" i="9"/>
  <c r="G285" i="9" s="1"/>
  <c r="F286" i="9"/>
  <c r="F285" i="9" s="1"/>
  <c r="E286" i="9"/>
  <c r="E285" i="9" s="1"/>
  <c r="H285" i="9"/>
  <c r="I285" i="9" s="1"/>
  <c r="I283" i="9"/>
  <c r="I282" i="9"/>
  <c r="I281" i="9"/>
  <c r="H280" i="9"/>
  <c r="G280" i="9"/>
  <c r="F280" i="9"/>
  <c r="E280" i="9"/>
  <c r="H278" i="9"/>
  <c r="I278" i="9" s="1"/>
  <c r="I277" i="9"/>
  <c r="I276" i="9"/>
  <c r="I275" i="9"/>
  <c r="I274" i="9"/>
  <c r="I273" i="9"/>
  <c r="G272" i="9"/>
  <c r="G271" i="9" s="1"/>
  <c r="F272" i="9"/>
  <c r="F271" i="9" s="1"/>
  <c r="F270" i="9" s="1"/>
  <c r="F269" i="9" s="1"/>
  <c r="E272" i="9"/>
  <c r="E271" i="9"/>
  <c r="E270" i="9" s="1"/>
  <c r="E269" i="9" s="1"/>
  <c r="I267" i="9"/>
  <c r="I266" i="9"/>
  <c r="H265" i="9"/>
  <c r="G265" i="9"/>
  <c r="F265" i="9"/>
  <c r="E265" i="9"/>
  <c r="E258" i="9" s="1"/>
  <c r="E257" i="9" s="1"/>
  <c r="E256" i="9" s="1"/>
  <c r="E255" i="9" s="1"/>
  <c r="I263" i="9"/>
  <c r="I262" i="9"/>
  <c r="I261" i="9"/>
  <c r="I260" i="9"/>
  <c r="H259" i="9"/>
  <c r="G259" i="9"/>
  <c r="F259" i="9"/>
  <c r="F258" i="9" s="1"/>
  <c r="F257" i="9" s="1"/>
  <c r="F256" i="9" s="1"/>
  <c r="F255" i="9" s="1"/>
  <c r="E259" i="9"/>
  <c r="H258" i="9"/>
  <c r="H257" i="9" s="1"/>
  <c r="I254" i="9"/>
  <c r="I253" i="9"/>
  <c r="I252" i="9"/>
  <c r="I251" i="9"/>
  <c r="F251" i="9"/>
  <c r="E251" i="9"/>
  <c r="I250" i="9"/>
  <c r="I249" i="9"/>
  <c r="I248" i="9"/>
  <c r="I247" i="9"/>
  <c r="I246" i="9"/>
  <c r="I245" i="9"/>
  <c r="I244" i="9"/>
  <c r="I242" i="9"/>
  <c r="I241" i="9"/>
  <c r="I240" i="9"/>
  <c r="H239" i="9"/>
  <c r="H238" i="9" s="1"/>
  <c r="G239" i="9"/>
  <c r="G238" i="9" s="1"/>
  <c r="F239" i="9"/>
  <c r="F238" i="9" s="1"/>
  <c r="E239" i="9"/>
  <c r="E238" i="9"/>
  <c r="I236" i="9"/>
  <c r="I235" i="9"/>
  <c r="I234" i="9"/>
  <c r="I233" i="9"/>
  <c r="I231" i="9"/>
  <c r="G230" i="9"/>
  <c r="I230" i="9" s="1"/>
  <c r="I229" i="9"/>
  <c r="I227" i="9"/>
  <c r="I226" i="9"/>
  <c r="I225" i="9"/>
  <c r="G224" i="9"/>
  <c r="I224" i="9" s="1"/>
  <c r="H223" i="9"/>
  <c r="G223" i="9"/>
  <c r="F223" i="9"/>
  <c r="F216" i="9" s="1"/>
  <c r="F215" i="9" s="1"/>
  <c r="F214" i="9" s="1"/>
  <c r="E223" i="9"/>
  <c r="I221" i="9"/>
  <c r="I220" i="9"/>
  <c r="I219" i="9"/>
  <c r="I218" i="9"/>
  <c r="H217" i="9"/>
  <c r="H216" i="9" s="1"/>
  <c r="G217" i="9"/>
  <c r="F217" i="9"/>
  <c r="E217" i="9"/>
  <c r="E216" i="9" s="1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H184" i="9"/>
  <c r="G184" i="9"/>
  <c r="G183" i="9" s="1"/>
  <c r="G182" i="9" s="1"/>
  <c r="G181" i="9" s="1"/>
  <c r="F184" i="9"/>
  <c r="E184" i="9"/>
  <c r="E183" i="9" s="1"/>
  <c r="E182" i="9" s="1"/>
  <c r="E181" i="9" s="1"/>
  <c r="F183" i="9"/>
  <c r="F182" i="9" s="1"/>
  <c r="F181" i="9" s="1"/>
  <c r="I180" i="9"/>
  <c r="I179" i="9"/>
  <c r="H178" i="9"/>
  <c r="G178" i="9"/>
  <c r="F178" i="9"/>
  <c r="E178" i="9"/>
  <c r="I176" i="9"/>
  <c r="I175" i="9"/>
  <c r="I174" i="9"/>
  <c r="I173" i="9"/>
  <c r="I172" i="9"/>
  <c r="I171" i="9"/>
  <c r="E171" i="9"/>
  <c r="I170" i="9"/>
  <c r="I169" i="9"/>
  <c r="E169" i="9"/>
  <c r="I168" i="9"/>
  <c r="H167" i="9"/>
  <c r="G167" i="9"/>
  <c r="G159" i="9" s="1"/>
  <c r="G158" i="9" s="1"/>
  <c r="G157" i="9" s="1"/>
  <c r="F167" i="9"/>
  <c r="I165" i="9"/>
  <c r="I164" i="9"/>
  <c r="I163" i="9"/>
  <c r="I162" i="9"/>
  <c r="I161" i="9"/>
  <c r="H160" i="9"/>
  <c r="G160" i="9"/>
  <c r="F160" i="9"/>
  <c r="E160" i="9"/>
  <c r="F159" i="9"/>
  <c r="F158" i="9" s="1"/>
  <c r="F157" i="9" s="1"/>
  <c r="I156" i="9"/>
  <c r="I155" i="9"/>
  <c r="F155" i="9"/>
  <c r="E155" i="9"/>
  <c r="E154" i="9" s="1"/>
  <c r="E153" i="9" s="1"/>
  <c r="I154" i="9"/>
  <c r="F154" i="9"/>
  <c r="I153" i="9"/>
  <c r="F153" i="9"/>
  <c r="I152" i="9"/>
  <c r="I151" i="9"/>
  <c r="I150" i="9"/>
  <c r="H149" i="9"/>
  <c r="G149" i="9"/>
  <c r="F149" i="9"/>
  <c r="F148" i="9" s="1"/>
  <c r="E149" i="9"/>
  <c r="E148" i="9" s="1"/>
  <c r="G148" i="9"/>
  <c r="I146" i="9"/>
  <c r="I145" i="9"/>
  <c r="H144" i="9"/>
  <c r="I144" i="9" s="1"/>
  <c r="G144" i="9"/>
  <c r="F144" i="9"/>
  <c r="E144" i="9"/>
  <c r="I142" i="9"/>
  <c r="I141" i="9"/>
  <c r="I140" i="9"/>
  <c r="H140" i="9"/>
  <c r="H139" i="9" s="1"/>
  <c r="G140" i="9"/>
  <c r="F140" i="9"/>
  <c r="E140" i="9"/>
  <c r="E139" i="9" s="1"/>
  <c r="G139" i="9"/>
  <c r="G138" i="9" s="1"/>
  <c r="G137" i="9" s="1"/>
  <c r="F139" i="9"/>
  <c r="F138" i="9" s="1"/>
  <c r="G136" i="9"/>
  <c r="I136" i="9" s="1"/>
  <c r="G135" i="9"/>
  <c r="I135" i="9" s="1"/>
  <c r="I134" i="9"/>
  <c r="G134" i="9"/>
  <c r="G133" i="9"/>
  <c r="I133" i="9" s="1"/>
  <c r="I132" i="9"/>
  <c r="I131" i="9"/>
  <c r="G131" i="9"/>
  <c r="G130" i="9"/>
  <c r="I130" i="9" s="1"/>
  <c r="G129" i="9"/>
  <c r="I129" i="9" s="1"/>
  <c r="I128" i="9"/>
  <c r="I125" i="9"/>
  <c r="G125" i="9"/>
  <c r="G124" i="9"/>
  <c r="I124" i="9" s="1"/>
  <c r="G123" i="9"/>
  <c r="I123" i="9" s="1"/>
  <c r="G122" i="9"/>
  <c r="I122" i="9" s="1"/>
  <c r="I121" i="9"/>
  <c r="G121" i="9"/>
  <c r="G120" i="9"/>
  <c r="I120" i="9" s="1"/>
  <c r="G119" i="9"/>
  <c r="I119" i="9" s="1"/>
  <c r="I118" i="9"/>
  <c r="G118" i="9"/>
  <c r="G117" i="9"/>
  <c r="I117" i="9" s="1"/>
  <c r="G116" i="9"/>
  <c r="I116" i="9" s="1"/>
  <c r="I115" i="9"/>
  <c r="G115" i="9"/>
  <c r="G114" i="9"/>
  <c r="I114" i="9" s="1"/>
  <c r="G113" i="9"/>
  <c r="I113" i="9" s="1"/>
  <c r="I112" i="9"/>
  <c r="G112" i="9"/>
  <c r="G111" i="9"/>
  <c r="I111" i="9" s="1"/>
  <c r="G110" i="9"/>
  <c r="I110" i="9" s="1"/>
  <c r="I109" i="9"/>
  <c r="G109" i="9"/>
  <c r="G108" i="9"/>
  <c r="I108" i="9" s="1"/>
  <c r="I107" i="9"/>
  <c r="I106" i="9"/>
  <c r="I105" i="9"/>
  <c r="G105" i="9"/>
  <c r="G104" i="9"/>
  <c r="I104" i="9" s="1"/>
  <c r="G103" i="9"/>
  <c r="I103" i="9" s="1"/>
  <c r="I102" i="9"/>
  <c r="G102" i="9"/>
  <c r="H101" i="9"/>
  <c r="F101" i="9"/>
  <c r="F100" i="9" s="1"/>
  <c r="F99" i="9" s="1"/>
  <c r="E101" i="9"/>
  <c r="E100" i="9" s="1"/>
  <c r="E99" i="9" s="1"/>
  <c r="H100" i="9"/>
  <c r="H99" i="9" s="1"/>
  <c r="I98" i="9"/>
  <c r="I97" i="9"/>
  <c r="F97" i="9"/>
  <c r="E97" i="9"/>
  <c r="I96" i="9"/>
  <c r="I95" i="9"/>
  <c r="I94" i="9"/>
  <c r="I93" i="9"/>
  <c r="F93" i="9"/>
  <c r="F92" i="9" s="1"/>
  <c r="E93" i="9"/>
  <c r="I92" i="9"/>
  <c r="E92" i="9"/>
  <c r="I91" i="9"/>
  <c r="I90" i="9"/>
  <c r="I89" i="9"/>
  <c r="F89" i="9"/>
  <c r="E89" i="9"/>
  <c r="I88" i="9"/>
  <c r="I87" i="9"/>
  <c r="I86" i="9"/>
  <c r="I85" i="9"/>
  <c r="I84" i="9"/>
  <c r="I83" i="9"/>
  <c r="I82" i="9"/>
  <c r="I81" i="9"/>
  <c r="I80" i="9"/>
  <c r="I79" i="9"/>
  <c r="I78" i="9"/>
  <c r="F78" i="9"/>
  <c r="E78" i="9"/>
  <c r="I77" i="9"/>
  <c r="I76" i="9"/>
  <c r="I75" i="9"/>
  <c r="I74" i="9"/>
  <c r="I73" i="9"/>
  <c r="I72" i="9"/>
  <c r="F72" i="9"/>
  <c r="F71" i="9" s="1"/>
  <c r="F70" i="9" s="1"/>
  <c r="F69" i="9" s="1"/>
  <c r="E72" i="9"/>
  <c r="I71" i="9"/>
  <c r="I70" i="9"/>
  <c r="I69" i="9"/>
  <c r="I68" i="9"/>
  <c r="I67" i="9"/>
  <c r="F67" i="9"/>
  <c r="E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F54" i="9"/>
  <c r="E54" i="9"/>
  <c r="I53" i="9"/>
  <c r="I52" i="9"/>
  <c r="I51" i="9"/>
  <c r="I50" i="9"/>
  <c r="I49" i="9"/>
  <c r="I48" i="9"/>
  <c r="I47" i="9"/>
  <c r="F47" i="9"/>
  <c r="F46" i="9" s="1"/>
  <c r="F45" i="9" s="1"/>
  <c r="F44" i="9" s="1"/>
  <c r="E47" i="9"/>
  <c r="E46" i="9" s="1"/>
  <c r="E45" i="9" s="1"/>
  <c r="E44" i="9" s="1"/>
  <c r="I46" i="9"/>
  <c r="I45" i="9"/>
  <c r="I44" i="9"/>
  <c r="I43" i="9"/>
  <c r="H42" i="9"/>
  <c r="H41" i="9" s="1"/>
  <c r="G42" i="9"/>
  <c r="G41" i="9" s="1"/>
  <c r="F42" i="9"/>
  <c r="F41" i="9" s="1"/>
  <c r="E42" i="9"/>
  <c r="E41" i="9"/>
  <c r="I39" i="9"/>
  <c r="H38" i="9"/>
  <c r="G38" i="9"/>
  <c r="F38" i="9"/>
  <c r="E38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H18" i="9"/>
  <c r="G18" i="9"/>
  <c r="F18" i="9"/>
  <c r="E18" i="9"/>
  <c r="I16" i="9"/>
  <c r="I15" i="9"/>
  <c r="I14" i="9"/>
  <c r="I13" i="9"/>
  <c r="I12" i="9"/>
  <c r="I11" i="9"/>
  <c r="H10" i="9"/>
  <c r="G10" i="9"/>
  <c r="G9" i="9" s="1"/>
  <c r="F10" i="9"/>
  <c r="E10" i="9"/>
  <c r="G8" i="9"/>
  <c r="H9" i="9" l="1"/>
  <c r="I10" i="9"/>
  <c r="H301" i="9"/>
  <c r="I301" i="9" s="1"/>
  <c r="I302" i="9"/>
  <c r="I324" i="9"/>
  <c r="H323" i="9"/>
  <c r="H322" i="9" s="1"/>
  <c r="H321" i="9" s="1"/>
  <c r="I321" i="9" s="1"/>
  <c r="H581" i="9"/>
  <c r="H580" i="9" s="1"/>
  <c r="H579" i="9" s="1"/>
  <c r="I582" i="9"/>
  <c r="I708" i="9"/>
  <c r="H707" i="9"/>
  <c r="I415" i="9"/>
  <c r="H414" i="9"/>
  <c r="I414" i="9" s="1"/>
  <c r="G430" i="9"/>
  <c r="G429" i="9" s="1"/>
  <c r="G655" i="9"/>
  <c r="G654" i="9" s="1"/>
  <c r="I656" i="9"/>
  <c r="I798" i="9"/>
  <c r="H797" i="9"/>
  <c r="H796" i="9" s="1"/>
  <c r="I796" i="9" s="1"/>
  <c r="I1186" i="9"/>
  <c r="G1185" i="9"/>
  <c r="F2577" i="9"/>
  <c r="E2579" i="9"/>
  <c r="H148" i="9"/>
  <c r="I148" i="9" s="1"/>
  <c r="I149" i="9"/>
  <c r="I167" i="9"/>
  <c r="E215" i="9"/>
  <c r="E214" i="9" s="1"/>
  <c r="I443" i="9"/>
  <c r="F579" i="9"/>
  <c r="I338" i="9"/>
  <c r="I384" i="9"/>
  <c r="I423" i="9"/>
  <c r="I427" i="9"/>
  <c r="H426" i="9"/>
  <c r="H425" i="9" s="1"/>
  <c r="F502" i="9"/>
  <c r="F501" i="9" s="1"/>
  <c r="F500" i="9" s="1"/>
  <c r="F463" i="9" s="1"/>
  <c r="E547" i="9"/>
  <c r="E546" i="9" s="1"/>
  <c r="E545" i="9" s="1"/>
  <c r="I571" i="9"/>
  <c r="H617" i="9"/>
  <c r="I618" i="9"/>
  <c r="G694" i="9"/>
  <c r="I694" i="9" s="1"/>
  <c r="I696" i="9"/>
  <c r="I1252" i="9"/>
  <c r="H1243" i="9"/>
  <c r="I1243" i="9" s="1"/>
  <c r="E2585" i="9"/>
  <c r="H183" i="9"/>
  <c r="I184" i="9"/>
  <c r="I280" i="9"/>
  <c r="I411" i="9"/>
  <c r="G569" i="9"/>
  <c r="I38" i="9"/>
  <c r="G101" i="9"/>
  <c r="I101" i="9" s="1"/>
  <c r="F9" i="9"/>
  <c r="F8" i="9" s="1"/>
  <c r="F7" i="9" s="1"/>
  <c r="E71" i="9"/>
  <c r="E70" i="9" s="1"/>
  <c r="E69" i="9" s="1"/>
  <c r="E167" i="9"/>
  <c r="E159" i="9" s="1"/>
  <c r="E158" i="9" s="1"/>
  <c r="E157" i="9" s="1"/>
  <c r="I265" i="9"/>
  <c r="G270" i="9"/>
  <c r="G269" i="9" s="1"/>
  <c r="I286" i="9"/>
  <c r="I297" i="9"/>
  <c r="H342" i="9"/>
  <c r="H341" i="9" s="1"/>
  <c r="I343" i="9"/>
  <c r="H410" i="9"/>
  <c r="I436" i="9"/>
  <c r="H442" i="9"/>
  <c r="H441" i="9" s="1"/>
  <c r="I449" i="9"/>
  <c r="H457" i="9"/>
  <c r="I457" i="9" s="1"/>
  <c r="I461" i="9"/>
  <c r="H547" i="9"/>
  <c r="H546" i="9" s="1"/>
  <c r="H1658" i="9"/>
  <c r="H1657" i="9" s="1"/>
  <c r="I1657" i="9" s="1"/>
  <c r="I1659" i="9"/>
  <c r="I941" i="9"/>
  <c r="K979" i="9"/>
  <c r="E457" i="9"/>
  <c r="H422" i="9"/>
  <c r="H421" i="9" s="1"/>
  <c r="H430" i="9"/>
  <c r="H429" i="9" s="1"/>
  <c r="I429" i="9" s="1"/>
  <c r="F430" i="9"/>
  <c r="F429" i="9" s="1"/>
  <c r="E440" i="9"/>
  <c r="F617" i="9"/>
  <c r="F616" i="9" s="1"/>
  <c r="I1193" i="9"/>
  <c r="G1192" i="9"/>
  <c r="H934" i="9"/>
  <c r="I938" i="9"/>
  <c r="I1170" i="9"/>
  <c r="G1169" i="9"/>
  <c r="I1169" i="9" s="1"/>
  <c r="I1190" i="9"/>
  <c r="I1210" i="9"/>
  <c r="H1209" i="9"/>
  <c r="G1223" i="9"/>
  <c r="G1222" i="9" s="1"/>
  <c r="I1230" i="9"/>
  <c r="I1235" i="9"/>
  <c r="G1234" i="9"/>
  <c r="I1352" i="9"/>
  <c r="H1787" i="9"/>
  <c r="H1786" i="9" s="1"/>
  <c r="I1788" i="9"/>
  <c r="H2024" i="9"/>
  <c r="H2023" i="9" s="1"/>
  <c r="I2025" i="9"/>
  <c r="F2579" i="9"/>
  <c r="E138" i="9"/>
  <c r="E137" i="9" s="1"/>
  <c r="I223" i="9"/>
  <c r="I238" i="9"/>
  <c r="F441" i="9"/>
  <c r="F440" i="9" s="1"/>
  <c r="F457" i="9"/>
  <c r="I574" i="9"/>
  <c r="G617" i="9"/>
  <c r="G616" i="9" s="1"/>
  <c r="G615" i="9" s="1"/>
  <c r="I641" i="9"/>
  <c r="F654" i="9"/>
  <c r="F652" i="9" s="1"/>
  <c r="F651" i="9" s="1"/>
  <c r="I704" i="9"/>
  <c r="F716" i="9"/>
  <c r="H930" i="9"/>
  <c r="H929" i="9" s="1"/>
  <c r="I931" i="9"/>
  <c r="E999" i="9"/>
  <c r="I1023" i="9"/>
  <c r="E1059" i="9"/>
  <c r="F1192" i="9"/>
  <c r="I1211" i="9"/>
  <c r="I1225" i="9"/>
  <c r="H1224" i="9"/>
  <c r="H1233" i="9"/>
  <c r="I1244" i="9"/>
  <c r="H1296" i="9"/>
  <c r="G1463" i="9"/>
  <c r="I1612" i="9"/>
  <c r="H1625" i="9"/>
  <c r="I1626" i="9"/>
  <c r="F2110" i="9"/>
  <c r="F2109" i="9" s="1"/>
  <c r="H2240" i="9"/>
  <c r="I2241" i="9"/>
  <c r="F2329" i="9"/>
  <c r="F2563" i="9"/>
  <c r="H1177" i="9"/>
  <c r="I1178" i="9"/>
  <c r="H1229" i="9"/>
  <c r="I1229" i="9" s="1"/>
  <c r="F2578" i="9"/>
  <c r="H159" i="9"/>
  <c r="I159" i="9" s="1"/>
  <c r="I178" i="9"/>
  <c r="G258" i="9"/>
  <c r="G257" i="9" s="1"/>
  <c r="G256" i="9" s="1"/>
  <c r="G255" i="9" s="1"/>
  <c r="F295" i="9"/>
  <c r="F268" i="9" s="1"/>
  <c r="F322" i="9"/>
  <c r="F321" i="9" s="1"/>
  <c r="E342" i="9"/>
  <c r="E341" i="9" s="1"/>
  <c r="E340" i="9" s="1"/>
  <c r="E338" i="9" s="1"/>
  <c r="E409" i="9"/>
  <c r="I437" i="9"/>
  <c r="E465" i="9"/>
  <c r="E464" i="9" s="1"/>
  <c r="E463" i="9" s="1"/>
  <c r="G502" i="9"/>
  <c r="G501" i="9" s="1"/>
  <c r="G522" i="9"/>
  <c r="I522" i="9" s="1"/>
  <c r="G546" i="9"/>
  <c r="I564" i="9"/>
  <c r="E581" i="9"/>
  <c r="E580" i="9" s="1"/>
  <c r="E579" i="9" s="1"/>
  <c r="E654" i="9"/>
  <c r="E652" i="9" s="1"/>
  <c r="E651" i="9" s="1"/>
  <c r="F664" i="9"/>
  <c r="F663" i="9" s="1"/>
  <c r="F662" i="9" s="1"/>
  <c r="H1189" i="9"/>
  <c r="I1189" i="9" s="1"/>
  <c r="I1374" i="9"/>
  <c r="I1619" i="9"/>
  <c r="H1618" i="9"/>
  <c r="I1618" i="9" s="1"/>
  <c r="G1782" i="9"/>
  <c r="I1782" i="9" s="1"/>
  <c r="I1783" i="9"/>
  <c r="F1791" i="9"/>
  <c r="F1790" i="9" s="1"/>
  <c r="G2129" i="9"/>
  <c r="F2255" i="9"/>
  <c r="F2254" i="9" s="1"/>
  <c r="F2253" i="9" s="1"/>
  <c r="F2201" i="9" s="1"/>
  <c r="I2417" i="9"/>
  <c r="H2478" i="9"/>
  <c r="I2478" i="9" s="1"/>
  <c r="I2479" i="9"/>
  <c r="J1804" i="9"/>
  <c r="I1804" i="9"/>
  <c r="I160" i="9"/>
  <c r="G216" i="9"/>
  <c r="G215" i="9" s="1"/>
  <c r="G214" i="9" s="1"/>
  <c r="I259" i="9"/>
  <c r="G322" i="9"/>
  <c r="G321" i="9" s="1"/>
  <c r="G334" i="9"/>
  <c r="G333" i="9" s="1"/>
  <c r="F409" i="9"/>
  <c r="I419" i="9"/>
  <c r="H502" i="9"/>
  <c r="H501" i="9" s="1"/>
  <c r="E502" i="9"/>
  <c r="E501" i="9" s="1"/>
  <c r="E500" i="9" s="1"/>
  <c r="I525" i="9"/>
  <c r="I590" i="9"/>
  <c r="I647" i="9"/>
  <c r="I651" i="9"/>
  <c r="G664" i="9"/>
  <c r="G663" i="9" s="1"/>
  <c r="G662" i="9" s="1"/>
  <c r="E727" i="9"/>
  <c r="E716" i="9" s="1"/>
  <c r="E715" i="9" s="1"/>
  <c r="H825" i="9"/>
  <c r="I825" i="9" s="1"/>
  <c r="I832" i="9"/>
  <c r="E930" i="9"/>
  <c r="E929" i="9" s="1"/>
  <c r="E928" i="9" s="1"/>
  <c r="E1035" i="9"/>
  <c r="E1034" i="9" s="1"/>
  <c r="E1033" i="9" s="1"/>
  <c r="G1165" i="9"/>
  <c r="I1298" i="9"/>
  <c r="G1297" i="9"/>
  <c r="G1296" i="9" s="1"/>
  <c r="G1295" i="9" s="1"/>
  <c r="I1375" i="9"/>
  <c r="H1380" i="9"/>
  <c r="H1379" i="9" s="1"/>
  <c r="E1380" i="9"/>
  <c r="E1379" i="9" s="1"/>
  <c r="E1378" i="9" s="1"/>
  <c r="I1538" i="9"/>
  <c r="F1569" i="9"/>
  <c r="F1568" i="9" s="1"/>
  <c r="I1678" i="9"/>
  <c r="E1880" i="9"/>
  <c r="E1985" i="9"/>
  <c r="H2105" i="9"/>
  <c r="I2105" i="9" s="1"/>
  <c r="I2106" i="9"/>
  <c r="E2161" i="9"/>
  <c r="E2160" i="9" s="1"/>
  <c r="E2102" i="9" s="1"/>
  <c r="H2229" i="9"/>
  <c r="I2229" i="9" s="1"/>
  <c r="I666" i="9"/>
  <c r="I709" i="9"/>
  <c r="E818" i="9"/>
  <c r="E2576" i="9" s="1"/>
  <c r="E934" i="9"/>
  <c r="I994" i="9"/>
  <c r="I1012" i="9"/>
  <c r="E1016" i="9"/>
  <c r="E1015" i="9" s="1"/>
  <c r="E1014" i="9" s="1"/>
  <c r="H1192" i="9"/>
  <c r="I1192" i="9" s="1"/>
  <c r="E1223" i="9"/>
  <c r="E1222" i="9" s="1"/>
  <c r="E1279" i="9"/>
  <c r="E1278" i="9" s="1"/>
  <c r="E1302" i="9"/>
  <c r="E1301" i="9" s="1"/>
  <c r="E1300" i="9" s="1"/>
  <c r="I1310" i="9"/>
  <c r="E1320" i="9"/>
  <c r="E1319" i="9" s="1"/>
  <c r="E1318" i="9" s="1"/>
  <c r="F1320" i="9"/>
  <c r="F1319" i="9" s="1"/>
  <c r="F1318" i="9" s="1"/>
  <c r="G1380" i="9"/>
  <c r="G1379" i="9" s="1"/>
  <c r="G1378" i="9" s="1"/>
  <c r="E1530" i="9"/>
  <c r="E1529" i="9" s="1"/>
  <c r="I1551" i="9"/>
  <c r="I1605" i="9"/>
  <c r="I2231" i="9"/>
  <c r="G2230" i="9"/>
  <c r="G2229" i="9" s="1"/>
  <c r="I2256" i="9"/>
  <c r="G2288" i="9"/>
  <c r="G2287" i="9" s="1"/>
  <c r="G2286" i="9" s="1"/>
  <c r="I2289" i="9"/>
  <c r="H2354" i="9"/>
  <c r="I2354" i="9" s="1"/>
  <c r="I2355" i="9"/>
  <c r="I2474" i="9"/>
  <c r="D26" i="10"/>
  <c r="I790" i="9"/>
  <c r="E852" i="9"/>
  <c r="F1001" i="9"/>
  <c r="F1000" i="9" s="1"/>
  <c r="I1031" i="9"/>
  <c r="G1035" i="9"/>
  <c r="I1039" i="9"/>
  <c r="F1184" i="9"/>
  <c r="H1184" i="9"/>
  <c r="E1243" i="9"/>
  <c r="E1242" i="9" s="1"/>
  <c r="E1241" i="9" s="1"/>
  <c r="E1232" i="9" s="1"/>
  <c r="G1320" i="9"/>
  <c r="I1464" i="9"/>
  <c r="F1580" i="9"/>
  <c r="I1601" i="9"/>
  <c r="F1611" i="9"/>
  <c r="F1610" i="9" s="1"/>
  <c r="G1633" i="9"/>
  <c r="I1633" i="9" s="1"/>
  <c r="I1634" i="9"/>
  <c r="G1645" i="9"/>
  <c r="I1650" i="9"/>
  <c r="J1806" i="9"/>
  <c r="I1806" i="9"/>
  <c r="F2069" i="9"/>
  <c r="F2021" i="9" s="1"/>
  <c r="F2310" i="9"/>
  <c r="F2309" i="9" s="1"/>
  <c r="G2371" i="9"/>
  <c r="E2421" i="9"/>
  <c r="E2420" i="9" s="1"/>
  <c r="H2533" i="9"/>
  <c r="I2533" i="9" s="1"/>
  <c r="I2534" i="9"/>
  <c r="E798" i="9"/>
  <c r="E797" i="9" s="1"/>
  <c r="E796" i="9" s="1"/>
  <c r="I802" i="9"/>
  <c r="F919" i="9"/>
  <c r="F918" i="9" s="1"/>
  <c r="F917" i="9" s="1"/>
  <c r="I1002" i="9"/>
  <c r="H1016" i="9"/>
  <c r="F1213" i="9"/>
  <c r="H1302" i="9"/>
  <c r="H1531" i="9"/>
  <c r="H1530" i="9" s="1"/>
  <c r="I1532" i="9"/>
  <c r="E1580" i="9"/>
  <c r="E1567" i="9" s="1"/>
  <c r="G1611" i="9"/>
  <c r="G1610" i="9" s="1"/>
  <c r="G1636" i="9"/>
  <c r="H1724" i="9"/>
  <c r="I1724" i="9" s="1"/>
  <c r="I1725" i="9"/>
  <c r="I1795" i="9"/>
  <c r="K1804" i="9"/>
  <c r="H1792" i="9"/>
  <c r="G2071" i="9"/>
  <c r="G2070" i="9" s="1"/>
  <c r="I2072" i="9"/>
  <c r="F2102" i="9"/>
  <c r="I2312" i="9"/>
  <c r="G2311" i="9"/>
  <c r="I2345" i="9"/>
  <c r="G2344" i="9"/>
  <c r="I2344" i="9" s="1"/>
  <c r="E2380" i="9"/>
  <c r="H2391" i="9"/>
  <c r="I2392" i="9"/>
  <c r="F1618" i="9"/>
  <c r="F1617" i="9" s="1"/>
  <c r="I1647" i="9"/>
  <c r="I1654" i="9"/>
  <c r="E1657" i="9"/>
  <c r="E1656" i="9" s="1"/>
  <c r="I1866" i="9"/>
  <c r="E1893" i="9"/>
  <c r="E1892" i="9" s="1"/>
  <c r="E1891" i="9" s="1"/>
  <c r="E1879" i="9" s="1"/>
  <c r="I2041" i="9"/>
  <c r="H2071" i="9"/>
  <c r="G2110" i="9"/>
  <c r="G2109" i="9" s="1"/>
  <c r="G2102" i="9" s="1"/>
  <c r="F2162" i="9"/>
  <c r="F2161" i="9" s="1"/>
  <c r="F2160" i="9" s="1"/>
  <c r="E2214" i="9"/>
  <c r="E2213" i="9" s="1"/>
  <c r="E2240" i="9"/>
  <c r="E2239" i="9" s="1"/>
  <c r="E2238" i="9" s="1"/>
  <c r="I2261" i="9"/>
  <c r="H2288" i="9"/>
  <c r="H2287" i="9" s="1"/>
  <c r="E2312" i="9"/>
  <c r="F2347" i="9"/>
  <c r="F2371" i="9"/>
  <c r="I2408" i="9"/>
  <c r="I2581" i="9"/>
  <c r="I1662" i="9"/>
  <c r="H1667" i="9"/>
  <c r="H1666" i="9" s="1"/>
  <c r="E1723" i="9"/>
  <c r="F1734" i="9"/>
  <c r="F1733" i="9" s="1"/>
  <c r="E2024" i="9"/>
  <c r="E2023" i="9" s="1"/>
  <c r="E2022" i="9" s="1"/>
  <c r="E2021" i="9" s="1"/>
  <c r="G2162" i="9"/>
  <c r="G2161" i="9" s="1"/>
  <c r="G2160" i="9" s="1"/>
  <c r="H2266" i="9"/>
  <c r="H2265" i="9" s="1"/>
  <c r="H2264" i="9" s="1"/>
  <c r="I2264" i="9" s="1"/>
  <c r="F2338" i="9"/>
  <c r="F2403" i="9"/>
  <c r="F2402" i="9" s="1"/>
  <c r="F2540" i="9"/>
  <c r="F1463" i="9"/>
  <c r="F1462" i="9" s="1"/>
  <c r="F1461" i="9" s="1"/>
  <c r="I1472" i="9"/>
  <c r="E1596" i="9"/>
  <c r="E1595" i="9" s="1"/>
  <c r="G1653" i="9"/>
  <c r="I1653" i="9" s="1"/>
  <c r="I1664" i="9"/>
  <c r="I1669" i="9"/>
  <c r="G1697" i="9"/>
  <c r="G1696" i="9" s="1"/>
  <c r="G1695" i="9" s="1"/>
  <c r="I1704" i="9"/>
  <c r="G1734" i="9"/>
  <c r="G1733" i="9" s="1"/>
  <c r="I1767" i="9"/>
  <c r="I1928" i="9"/>
  <c r="I1987" i="9"/>
  <c r="G2240" i="9"/>
  <c r="G2239" i="9" s="1"/>
  <c r="G2238" i="9" s="1"/>
  <c r="I2272" i="9"/>
  <c r="I2305" i="9"/>
  <c r="G2338" i="9"/>
  <c r="I2338" i="9" s="1"/>
  <c r="I2362" i="9"/>
  <c r="I2387" i="9"/>
  <c r="E2390" i="9"/>
  <c r="E2403" i="9"/>
  <c r="E2402" i="9" s="1"/>
  <c r="I2427" i="9"/>
  <c r="E2478" i="9"/>
  <c r="E2477" i="9" s="1"/>
  <c r="E2476" i="9" s="1"/>
  <c r="E2471" i="9" s="1"/>
  <c r="F2478" i="9"/>
  <c r="F2477" i="9" s="1"/>
  <c r="F2476" i="9" s="1"/>
  <c r="I2547" i="9"/>
  <c r="I2551" i="9"/>
  <c r="G268" i="9"/>
  <c r="I417" i="9"/>
  <c r="I421" i="9"/>
  <c r="I425" i="9"/>
  <c r="I41" i="9"/>
  <c r="F137" i="9"/>
  <c r="F6" i="9" s="1"/>
  <c r="H215" i="9"/>
  <c r="H334" i="9"/>
  <c r="I335" i="9"/>
  <c r="I9" i="9"/>
  <c r="H8" i="9"/>
  <c r="H256" i="9"/>
  <c r="I257" i="9"/>
  <c r="E268" i="9"/>
  <c r="G7" i="9"/>
  <c r="I139" i="9"/>
  <c r="H138" i="9"/>
  <c r="I183" i="9"/>
  <c r="H182" i="9"/>
  <c r="I342" i="9"/>
  <c r="I442" i="9"/>
  <c r="I546" i="9"/>
  <c r="I655" i="9"/>
  <c r="H654" i="9"/>
  <c r="I654" i="9" s="1"/>
  <c r="H664" i="9"/>
  <c r="I665" i="9"/>
  <c r="G949" i="9"/>
  <c r="I949" i="9" s="1"/>
  <c r="I953" i="9"/>
  <c r="I1016" i="9"/>
  <c r="H1015" i="9"/>
  <c r="E1164" i="9"/>
  <c r="I1203" i="9"/>
  <c r="H1201" i="9"/>
  <c r="G1880" i="9"/>
  <c r="I1881" i="9"/>
  <c r="F2584" i="9"/>
  <c r="I42" i="9"/>
  <c r="F2585" i="9"/>
  <c r="H2580" i="9"/>
  <c r="G2578" i="9"/>
  <c r="I217" i="9"/>
  <c r="I239" i="9"/>
  <c r="I258" i="9"/>
  <c r="H272" i="9"/>
  <c r="I296" i="9"/>
  <c r="I336" i="9"/>
  <c r="I418" i="9"/>
  <c r="I426" i="9"/>
  <c r="I430" i="9"/>
  <c r="G476" i="9"/>
  <c r="I476" i="9" s="1"/>
  <c r="I503" i="9"/>
  <c r="I519" i="9"/>
  <c r="I548" i="9"/>
  <c r="I550" i="9"/>
  <c r="I575" i="9"/>
  <c r="G581" i="9"/>
  <c r="G580" i="9" s="1"/>
  <c r="G579" i="9" s="1"/>
  <c r="I612" i="9"/>
  <c r="G683" i="9"/>
  <c r="G682" i="9" s="1"/>
  <c r="I685" i="9"/>
  <c r="E701" i="9"/>
  <c r="I766" i="9"/>
  <c r="I781" i="9"/>
  <c r="H780" i="9"/>
  <c r="G817" i="9"/>
  <c r="I907" i="9"/>
  <c r="G906" i="9"/>
  <c r="I906" i="9" s="1"/>
  <c r="G919" i="9"/>
  <c r="G918" i="9" s="1"/>
  <c r="G917" i="9" s="1"/>
  <c r="I925" i="9"/>
  <c r="I1005" i="9"/>
  <c r="H1001" i="9"/>
  <c r="I1036" i="9"/>
  <c r="F1164" i="9"/>
  <c r="H1529" i="9"/>
  <c r="I1529" i="9" s="1"/>
  <c r="I1530" i="9"/>
  <c r="I2163" i="9"/>
  <c r="H2162" i="9"/>
  <c r="I2194" i="9"/>
  <c r="H2193" i="9"/>
  <c r="E2584" i="9"/>
  <c r="G541" i="9"/>
  <c r="H1124" i="9"/>
  <c r="I1125" i="9"/>
  <c r="F2576" i="9"/>
  <c r="F2575" i="9" s="1"/>
  <c r="G2576" i="9"/>
  <c r="H2578" i="9"/>
  <c r="I2578" i="9" s="1"/>
  <c r="H2585" i="9"/>
  <c r="G397" i="9"/>
  <c r="I397" i="9" s="1"/>
  <c r="I458" i="9"/>
  <c r="I547" i="9"/>
  <c r="H682" i="9"/>
  <c r="I682" i="9" s="1"/>
  <c r="I683" i="9"/>
  <c r="F715" i="9"/>
  <c r="F701" i="9" s="1"/>
  <c r="I794" i="9"/>
  <c r="I797" i="9"/>
  <c r="H817" i="9"/>
  <c r="I818" i="9"/>
  <c r="I853" i="9"/>
  <c r="G852" i="9"/>
  <c r="I852" i="9" s="1"/>
  <c r="G897" i="9"/>
  <c r="G896" i="9" s="1"/>
  <c r="I896" i="9" s="1"/>
  <c r="H918" i="9"/>
  <c r="I919" i="9"/>
  <c r="I920" i="9"/>
  <c r="F999" i="9"/>
  <c r="F778" i="9" s="1"/>
  <c r="H1034" i="9"/>
  <c r="I1035" i="9"/>
  <c r="I1233" i="9"/>
  <c r="F1233" i="9"/>
  <c r="I1735" i="9"/>
  <c r="H1734" i="9"/>
  <c r="H1791" i="9"/>
  <c r="I1792" i="9"/>
  <c r="H702" i="9"/>
  <c r="I703" i="9"/>
  <c r="H706" i="9"/>
  <c r="I706" i="9" s="1"/>
  <c r="I707" i="9"/>
  <c r="H715" i="9"/>
  <c r="H914" i="9"/>
  <c r="I915" i="9"/>
  <c r="E9" i="9"/>
  <c r="E8" i="9" s="1"/>
  <c r="E7" i="9" s="1"/>
  <c r="H2576" i="9"/>
  <c r="G100" i="9"/>
  <c r="G99" i="9" s="1"/>
  <c r="I99" i="9" s="1"/>
  <c r="F2580" i="9"/>
  <c r="E2578" i="9"/>
  <c r="H466" i="9"/>
  <c r="H570" i="9"/>
  <c r="I748" i="9"/>
  <c r="G727" i="9"/>
  <c r="I727" i="9" s="1"/>
  <c r="I897" i="9"/>
  <c r="J979" i="9"/>
  <c r="G934" i="9"/>
  <c r="G930" i="9" s="1"/>
  <c r="G929" i="9" s="1"/>
  <c r="G928" i="9" s="1"/>
  <c r="H986" i="9"/>
  <c r="I986" i="9" s="1"/>
  <c r="I987" i="9"/>
  <c r="G2586" i="9"/>
  <c r="G1124" i="9"/>
  <c r="H1301" i="9"/>
  <c r="I1412" i="9"/>
  <c r="G1406" i="9"/>
  <c r="I1406" i="9" s="1"/>
  <c r="E1617" i="9"/>
  <c r="H1641" i="9"/>
  <c r="I1641" i="9" s="1"/>
  <c r="I1642" i="9"/>
  <c r="H1656" i="9"/>
  <c r="I1656" i="9" s="1"/>
  <c r="I1688" i="9"/>
  <c r="H1687" i="9"/>
  <c r="I1893" i="9"/>
  <c r="H1892" i="9"/>
  <c r="I1056" i="9"/>
  <c r="H2586" i="9"/>
  <c r="I1141" i="9"/>
  <c r="I1209" i="9"/>
  <c r="I1215" i="9"/>
  <c r="H1214" i="9"/>
  <c r="I1218" i="9"/>
  <c r="H1223" i="9"/>
  <c r="I1224" i="9"/>
  <c r="G1233" i="9"/>
  <c r="H1275" i="9"/>
  <c r="I1276" i="9"/>
  <c r="H1295" i="9"/>
  <c r="I1296" i="9"/>
  <c r="I1381" i="9"/>
  <c r="H1451" i="9"/>
  <c r="I1451" i="9" s="1"/>
  <c r="I1452" i="9"/>
  <c r="F1529" i="9"/>
  <c r="G1560" i="9"/>
  <c r="I1561" i="9"/>
  <c r="G1597" i="9"/>
  <c r="G1596" i="9" s="1"/>
  <c r="G1595" i="9" s="1"/>
  <c r="I1598" i="9"/>
  <c r="G1786" i="9"/>
  <c r="I1787" i="9"/>
  <c r="I2056" i="9"/>
  <c r="G2045" i="9"/>
  <c r="H2104" i="9"/>
  <c r="G773" i="9"/>
  <c r="I773" i="9" s="1"/>
  <c r="I1165" i="9"/>
  <c r="I1166" i="9"/>
  <c r="I1167" i="9"/>
  <c r="I1194" i="9"/>
  <c r="I1234" i="9"/>
  <c r="I1238" i="9"/>
  <c r="I1239" i="9"/>
  <c r="H1242" i="9"/>
  <c r="F1241" i="9"/>
  <c r="G1319" i="9"/>
  <c r="G1318" i="9" s="1"/>
  <c r="G1462" i="9"/>
  <c r="G1461" i="9" s="1"/>
  <c r="H1514" i="9"/>
  <c r="I1560" i="9"/>
  <c r="H1596" i="9"/>
  <c r="I1630" i="9"/>
  <c r="G1629" i="9"/>
  <c r="I1666" i="9"/>
  <c r="K1806" i="9"/>
  <c r="I1797" i="9"/>
  <c r="E2266" i="9"/>
  <c r="E2265" i="9" s="1"/>
  <c r="E2264" i="9" s="1"/>
  <c r="I1145" i="9"/>
  <c r="G1144" i="9"/>
  <c r="I1144" i="9" s="1"/>
  <c r="I1180" i="9"/>
  <c r="G1302" i="9"/>
  <c r="G1301" i="9" s="1"/>
  <c r="G1300" i="9" s="1"/>
  <c r="I1320" i="9"/>
  <c r="H1319" i="9"/>
  <c r="H1463" i="9"/>
  <c r="G1529" i="9"/>
  <c r="I1531" i="9"/>
  <c r="E1645" i="9"/>
  <c r="E1644" i="9" s="1"/>
  <c r="H1682" i="9"/>
  <c r="I1683" i="9"/>
  <c r="F1732" i="9"/>
  <c r="F1723" i="9" s="1"/>
  <c r="E1932" i="9"/>
  <c r="G1932" i="9"/>
  <c r="G1892" i="9" s="1"/>
  <c r="G1891" i="9" s="1"/>
  <c r="I1937" i="9"/>
  <c r="H2209" i="9"/>
  <c r="I2209" i="9" s="1"/>
  <c r="I2210" i="9"/>
  <c r="E2586" i="9"/>
  <c r="H1611" i="9"/>
  <c r="I1615" i="9"/>
  <c r="H1636" i="9"/>
  <c r="I1636" i="9" s="1"/>
  <c r="H1646" i="9"/>
  <c r="I1663" i="9"/>
  <c r="I1684" i="9"/>
  <c r="F1697" i="9"/>
  <c r="F1696" i="9" s="1"/>
  <c r="F1695" i="9" s="1"/>
  <c r="I1786" i="9"/>
  <c r="H1880" i="9"/>
  <c r="I1975" i="9"/>
  <c r="G1995" i="9"/>
  <c r="I1995" i="9" s="1"/>
  <c r="I1997" i="9"/>
  <c r="G2024" i="9"/>
  <c r="G2023" i="9" s="1"/>
  <c r="G2022" i="9" s="1"/>
  <c r="I2203" i="9"/>
  <c r="H2202" i="9"/>
  <c r="I2202" i="9" s="1"/>
  <c r="G1059" i="9"/>
  <c r="I1059" i="9" s="1"/>
  <c r="F2586" i="9"/>
  <c r="G2579" i="9"/>
  <c r="F1666" i="9"/>
  <c r="F1594" i="9" s="1"/>
  <c r="I1677" i="9"/>
  <c r="H1697" i="9"/>
  <c r="I1728" i="9"/>
  <c r="H1865" i="9"/>
  <c r="I1865" i="9" s="1"/>
  <c r="I2024" i="9"/>
  <c r="H2070" i="9"/>
  <c r="G2091" i="9"/>
  <c r="I2091" i="9" s="1"/>
  <c r="I2092" i="9"/>
  <c r="G2095" i="9"/>
  <c r="G2094" i="9" s="1"/>
  <c r="I2096" i="9"/>
  <c r="I2111" i="9"/>
  <c r="H2110" i="9"/>
  <c r="H2579" i="9"/>
  <c r="I1625" i="9"/>
  <c r="H1617" i="9"/>
  <c r="I1617" i="9" s="1"/>
  <c r="G1800" i="9"/>
  <c r="I1800" i="9" s="1"/>
  <c r="F1892" i="9"/>
  <c r="F1891" i="9" s="1"/>
  <c r="F1879" i="9" s="1"/>
  <c r="I1932" i="9"/>
  <c r="H2017" i="9"/>
  <c r="I2017" i="9" s="1"/>
  <c r="I2018" i="9"/>
  <c r="H2043" i="9"/>
  <c r="H2094" i="9"/>
  <c r="I2094" i="9" s="1"/>
  <c r="I2287" i="9"/>
  <c r="H2286" i="9"/>
  <c r="I2286" i="9" s="1"/>
  <c r="I2336" i="9"/>
  <c r="H2335" i="9"/>
  <c r="I2335" i="9" s="1"/>
  <c r="I2211" i="9"/>
  <c r="G2214" i="9"/>
  <c r="G2213" i="9" s="1"/>
  <c r="G2255" i="9"/>
  <c r="G2254" i="9" s="1"/>
  <c r="G2253" i="9" s="1"/>
  <c r="I2265" i="9"/>
  <c r="H2277" i="9"/>
  <c r="G2277" i="9"/>
  <c r="G2276" i="9" s="1"/>
  <c r="G2275" i="9" s="1"/>
  <c r="I2283" i="9"/>
  <c r="H2310" i="9"/>
  <c r="I2311" i="9"/>
  <c r="G2310" i="9"/>
  <c r="G2309" i="9" s="1"/>
  <c r="G2308" i="9" s="1"/>
  <c r="I2521" i="9"/>
  <c r="H2516" i="9"/>
  <c r="F2527" i="9"/>
  <c r="H2255" i="9"/>
  <c r="I2288" i="9"/>
  <c r="H2329" i="9"/>
  <c r="I2329" i="9" s="1"/>
  <c r="I2204" i="9"/>
  <c r="I2218" i="9"/>
  <c r="H2216" i="9"/>
  <c r="H2577" i="9" s="1"/>
  <c r="F2238" i="9"/>
  <c r="I2266" i="9"/>
  <c r="E2288" i="9"/>
  <c r="E2287" i="9" s="1"/>
  <c r="E2286" i="9" s="1"/>
  <c r="I2304" i="9"/>
  <c r="I2326" i="9"/>
  <c r="I2330" i="9"/>
  <c r="I2331" i="9"/>
  <c r="I2339" i="9"/>
  <c r="I2340" i="9"/>
  <c r="I2382" i="9"/>
  <c r="H2381" i="9"/>
  <c r="H2397" i="9"/>
  <c r="I2397" i="9" s="1"/>
  <c r="I2398" i="9"/>
  <c r="E2419" i="9"/>
  <c r="E2308" i="9" s="1"/>
  <c r="H2457" i="9"/>
  <c r="I2457" i="9" s="1"/>
  <c r="I2458" i="9"/>
  <c r="F2471" i="9"/>
  <c r="G2516" i="9"/>
  <c r="G2515" i="9" s="1"/>
  <c r="G2514" i="9" s="1"/>
  <c r="G2471" i="9" s="1"/>
  <c r="I2517" i="9"/>
  <c r="H2529" i="9"/>
  <c r="I2530" i="9"/>
  <c r="E2527" i="9"/>
  <c r="I2556" i="9"/>
  <c r="I2560" i="9"/>
  <c r="I2561" i="9"/>
  <c r="G2563" i="9"/>
  <c r="H2568" i="9"/>
  <c r="I2568" i="9" s="1"/>
  <c r="I2569" i="9"/>
  <c r="G2347" i="9"/>
  <c r="H2366" i="9"/>
  <c r="I2367" i="9"/>
  <c r="I2373" i="9"/>
  <c r="H2372" i="9"/>
  <c r="I2391" i="9"/>
  <c r="H2402" i="9"/>
  <c r="I2402" i="9" s="1"/>
  <c r="I2403" i="9"/>
  <c r="G2542" i="9"/>
  <c r="G2541" i="9" s="1"/>
  <c r="G2540" i="9" s="1"/>
  <c r="H2563" i="9"/>
  <c r="I2563" i="9" s="1"/>
  <c r="I2564" i="9"/>
  <c r="I2565" i="9"/>
  <c r="H2348" i="9"/>
  <c r="I2349" i="9"/>
  <c r="I2378" i="9"/>
  <c r="H2377" i="9"/>
  <c r="I2377" i="9" s="1"/>
  <c r="H2421" i="9"/>
  <c r="I2422" i="9"/>
  <c r="H2537" i="9"/>
  <c r="I2538" i="9"/>
  <c r="H2386" i="9"/>
  <c r="I2386" i="9" s="1"/>
  <c r="H2390" i="9"/>
  <c r="I2390" i="9" s="1"/>
  <c r="H2473" i="9"/>
  <c r="H2477" i="9"/>
  <c r="H2542" i="9"/>
  <c r="G500" i="9" l="1"/>
  <c r="H2239" i="9"/>
  <c r="I2240" i="9"/>
  <c r="I2071" i="9"/>
  <c r="I1295" i="9"/>
  <c r="G578" i="9"/>
  <c r="I323" i="9"/>
  <c r="I322" i="9"/>
  <c r="G1644" i="9"/>
  <c r="G1594" i="9" s="1"/>
  <c r="I1667" i="9"/>
  <c r="E2577" i="9"/>
  <c r="E2575" i="9" s="1"/>
  <c r="E2574" i="9" s="1"/>
  <c r="F2308" i="9"/>
  <c r="I2230" i="9"/>
  <c r="E578" i="9"/>
  <c r="H1172" i="9"/>
  <c r="I1172" i="9" s="1"/>
  <c r="I1177" i="9"/>
  <c r="I1297" i="9"/>
  <c r="F2574" i="9"/>
  <c r="I216" i="9"/>
  <c r="H158" i="9"/>
  <c r="H157" i="9" s="1"/>
  <c r="I157" i="9" s="1"/>
  <c r="I502" i="9"/>
  <c r="G1732" i="9"/>
  <c r="F1567" i="9"/>
  <c r="G545" i="9"/>
  <c r="H295" i="9"/>
  <c r="I295" i="9" s="1"/>
  <c r="E2201" i="9"/>
  <c r="F578" i="9"/>
  <c r="I1380" i="9"/>
  <c r="E6" i="9"/>
  <c r="E2571" i="9" s="1"/>
  <c r="I422" i="9"/>
  <c r="I1658" i="9"/>
  <c r="G2069" i="9"/>
  <c r="E2580" i="9"/>
  <c r="E1594" i="9"/>
  <c r="E817" i="9"/>
  <c r="E816" i="9" s="1"/>
  <c r="E815" i="9" s="1"/>
  <c r="E778" i="9" s="1"/>
  <c r="F615" i="9"/>
  <c r="I410" i="9"/>
  <c r="H409" i="9"/>
  <c r="I409" i="9" s="1"/>
  <c r="H616" i="9"/>
  <c r="I617" i="9"/>
  <c r="G1184" i="9"/>
  <c r="I1184" i="9" s="1"/>
  <c r="I1185" i="9"/>
  <c r="H1696" i="9"/>
  <c r="I1697" i="9"/>
  <c r="H1274" i="9"/>
  <c r="I1274" i="9" s="1"/>
  <c r="I1275" i="9"/>
  <c r="H663" i="9"/>
  <c r="I664" i="9"/>
  <c r="I2477" i="9"/>
  <c r="H2476" i="9"/>
  <c r="I2476" i="9" s="1"/>
  <c r="H2420" i="9"/>
  <c r="I2421" i="9"/>
  <c r="I2348" i="9"/>
  <c r="H2347" i="9"/>
  <c r="I2347" i="9" s="1"/>
  <c r="H2371" i="9"/>
  <c r="I2371" i="9" s="1"/>
  <c r="I2372" i="9"/>
  <c r="G1791" i="9"/>
  <c r="G1790" i="9" s="1"/>
  <c r="G1723" i="9" s="1"/>
  <c r="H2109" i="9"/>
  <c r="I2109" i="9" s="1"/>
  <c r="I2110" i="9"/>
  <c r="I2023" i="9"/>
  <c r="H2022" i="9"/>
  <c r="I1880" i="9"/>
  <c r="I1629" i="9"/>
  <c r="G1628" i="9"/>
  <c r="I1628" i="9" s="1"/>
  <c r="G1232" i="9"/>
  <c r="I1214" i="9"/>
  <c r="H1213" i="9"/>
  <c r="I1213" i="9" s="1"/>
  <c r="I1892" i="9"/>
  <c r="H1891" i="9"/>
  <c r="I1891" i="9" s="1"/>
  <c r="I2576" i="9"/>
  <c r="H2575" i="9"/>
  <c r="I934" i="9"/>
  <c r="E2583" i="9"/>
  <c r="I541" i="9"/>
  <c r="H271" i="9"/>
  <c r="I272" i="9"/>
  <c r="G1034" i="9"/>
  <c r="G1033" i="9" s="1"/>
  <c r="H440" i="9"/>
  <c r="I440" i="9" s="1"/>
  <c r="I441" i="9"/>
  <c r="I256" i="9"/>
  <c r="H255" i="9"/>
  <c r="I255" i="9" s="1"/>
  <c r="I215" i="9"/>
  <c r="H214" i="9"/>
  <c r="I214" i="9" s="1"/>
  <c r="G2584" i="9"/>
  <c r="G2583" i="9" s="1"/>
  <c r="I579" i="9"/>
  <c r="I1319" i="9"/>
  <c r="H1318" i="9"/>
  <c r="I1318" i="9" s="1"/>
  <c r="H1733" i="9"/>
  <c r="I1734" i="9"/>
  <c r="H2161" i="9"/>
  <c r="I2162" i="9"/>
  <c r="G2585" i="9"/>
  <c r="I2585" i="9" s="1"/>
  <c r="I341" i="9"/>
  <c r="H340" i="9"/>
  <c r="I340" i="9" s="1"/>
  <c r="G2527" i="9"/>
  <c r="H2276" i="9"/>
  <c r="I2277" i="9"/>
  <c r="I2473" i="9"/>
  <c r="H2472" i="9"/>
  <c r="H2528" i="9"/>
  <c r="I2529" i="9"/>
  <c r="H2515" i="9"/>
  <c r="I2516" i="9"/>
  <c r="H2309" i="9"/>
  <c r="I2310" i="9"/>
  <c r="G1986" i="9"/>
  <c r="H1610" i="9"/>
  <c r="I1610" i="9" s="1"/>
  <c r="I1611" i="9"/>
  <c r="H1513" i="9"/>
  <c r="I1513" i="9" s="1"/>
  <c r="I1514" i="9"/>
  <c r="H1241" i="9"/>
  <c r="I1242" i="9"/>
  <c r="G2044" i="9"/>
  <c r="I2045" i="9"/>
  <c r="I1301" i="9"/>
  <c r="H1300" i="9"/>
  <c r="I1300" i="9" s="1"/>
  <c r="I580" i="9"/>
  <c r="H701" i="9"/>
  <c r="I702" i="9"/>
  <c r="I929" i="9"/>
  <c r="H928" i="9"/>
  <c r="I928" i="9" s="1"/>
  <c r="H917" i="9"/>
  <c r="I917" i="9" s="1"/>
  <c r="I918" i="9"/>
  <c r="I1124" i="9"/>
  <c r="H2192" i="9"/>
  <c r="I2193" i="9"/>
  <c r="F2583" i="9"/>
  <c r="H1200" i="9"/>
  <c r="I1201" i="9"/>
  <c r="I1015" i="9"/>
  <c r="H1014" i="9"/>
  <c r="I1014" i="9" s="1"/>
  <c r="H181" i="9"/>
  <c r="I181" i="9" s="1"/>
  <c r="I182" i="9"/>
  <c r="G6" i="9"/>
  <c r="I8" i="9"/>
  <c r="H7" i="9"/>
  <c r="I2542" i="9"/>
  <c r="H2541" i="9"/>
  <c r="H2365" i="9"/>
  <c r="I2365" i="9" s="1"/>
  <c r="I2366" i="9"/>
  <c r="H2254" i="9"/>
  <c r="I2255" i="9"/>
  <c r="G2201" i="9"/>
  <c r="H1985" i="9"/>
  <c r="I1596" i="9"/>
  <c r="H1595" i="9"/>
  <c r="H1378" i="9"/>
  <c r="I1378" i="9" s="1"/>
  <c r="I1379" i="9"/>
  <c r="H1686" i="9"/>
  <c r="I1686" i="9" s="1"/>
  <c r="I1687" i="9"/>
  <c r="H465" i="9"/>
  <c r="I466" i="9"/>
  <c r="H913" i="9"/>
  <c r="I913" i="9" s="1"/>
  <c r="I914" i="9"/>
  <c r="G2580" i="9"/>
  <c r="I2580" i="9" s="1"/>
  <c r="I1001" i="9"/>
  <c r="H1000" i="9"/>
  <c r="I780" i="9"/>
  <c r="H779" i="9"/>
  <c r="G465" i="9"/>
  <c r="G464" i="9" s="1"/>
  <c r="G463" i="9" s="1"/>
  <c r="H137" i="9"/>
  <c r="I137" i="9" s="1"/>
  <c r="I138" i="9"/>
  <c r="I334" i="9"/>
  <c r="H333" i="9"/>
  <c r="I333" i="9" s="1"/>
  <c r="I2579" i="9"/>
  <c r="H2536" i="9"/>
  <c r="I2536" i="9" s="1"/>
  <c r="I2537" i="9"/>
  <c r="H2380" i="9"/>
  <c r="I2380" i="9" s="1"/>
  <c r="I2381" i="9"/>
  <c r="I2216" i="9"/>
  <c r="H2215" i="9"/>
  <c r="I2095" i="9"/>
  <c r="I2070" i="9"/>
  <c r="H2069" i="9"/>
  <c r="H1645" i="9"/>
  <c r="I1646" i="9"/>
  <c r="H1681" i="9"/>
  <c r="I1681" i="9" s="1"/>
  <c r="I1682" i="9"/>
  <c r="H1462" i="9"/>
  <c r="I1463" i="9"/>
  <c r="I1597" i="9"/>
  <c r="I2104" i="9"/>
  <c r="H2103" i="9"/>
  <c r="H1222" i="9"/>
  <c r="I1222" i="9" s="1"/>
  <c r="I1223" i="9"/>
  <c r="I2586" i="9"/>
  <c r="I1302" i="9"/>
  <c r="G716" i="9"/>
  <c r="H569" i="9"/>
  <c r="I570" i="9"/>
  <c r="H1790" i="9"/>
  <c r="F1232" i="9"/>
  <c r="H1033" i="9"/>
  <c r="I930" i="9"/>
  <c r="H816" i="9"/>
  <c r="I817" i="9"/>
  <c r="G816" i="9"/>
  <c r="G815" i="9" s="1"/>
  <c r="G778" i="9" s="1"/>
  <c r="I581" i="9"/>
  <c r="I100" i="9"/>
  <c r="G2577" i="9"/>
  <c r="I2577" i="9" s="1"/>
  <c r="I158" i="9"/>
  <c r="H2584" i="9"/>
  <c r="H500" i="9"/>
  <c r="I500" i="9" s="1"/>
  <c r="I501" i="9"/>
  <c r="F2571" i="9" l="1"/>
  <c r="I1791" i="9"/>
  <c r="H1879" i="9"/>
  <c r="H615" i="9"/>
  <c r="I616" i="9"/>
  <c r="H2238" i="9"/>
  <c r="I2238" i="9" s="1"/>
  <c r="I2239" i="9"/>
  <c r="I1790" i="9"/>
  <c r="I2069" i="9"/>
  <c r="G1164" i="9"/>
  <c r="I569" i="9"/>
  <c r="H545" i="9"/>
  <c r="I545" i="9" s="1"/>
  <c r="H999" i="9"/>
  <c r="I999" i="9" s="1"/>
  <c r="I1000" i="9"/>
  <c r="I1595" i="9"/>
  <c r="H2540" i="9"/>
  <c r="I2540" i="9" s="1"/>
  <c r="I2541" i="9"/>
  <c r="G1985" i="9"/>
  <c r="G1879" i="9" s="1"/>
  <c r="I1879" i="9" s="1"/>
  <c r="I1986" i="9"/>
  <c r="I2472" i="9"/>
  <c r="H1732" i="9"/>
  <c r="I1733" i="9"/>
  <c r="H1695" i="9"/>
  <c r="I1695" i="9" s="1"/>
  <c r="I1696" i="9"/>
  <c r="I1241" i="9"/>
  <c r="I2309" i="9"/>
  <c r="H2275" i="9"/>
  <c r="I2275" i="9" s="1"/>
  <c r="I2276" i="9"/>
  <c r="G2575" i="9"/>
  <c r="G2574" i="9" s="1"/>
  <c r="G715" i="9"/>
  <c r="I716" i="9"/>
  <c r="I2584" i="9"/>
  <c r="H2583" i="9"/>
  <c r="I2583" i="9" s="1"/>
  <c r="I1033" i="9"/>
  <c r="I2103" i="9"/>
  <c r="H1461" i="9"/>
  <c r="I1461" i="9" s="1"/>
  <c r="I1462" i="9"/>
  <c r="H1644" i="9"/>
  <c r="I1644" i="9" s="1"/>
  <c r="I1645" i="9"/>
  <c r="H2253" i="9"/>
  <c r="I2253" i="9" s="1"/>
  <c r="I2254" i="9"/>
  <c r="G2043" i="9"/>
  <c r="I2044" i="9"/>
  <c r="H2514" i="9"/>
  <c r="I2514" i="9" s="1"/>
  <c r="I2515" i="9"/>
  <c r="H2021" i="9"/>
  <c r="I2022" i="9"/>
  <c r="E2588" i="9"/>
  <c r="I2528" i="9"/>
  <c r="H2527" i="9"/>
  <c r="I2527" i="9" s="1"/>
  <c r="I2420" i="9"/>
  <c r="H2419" i="9"/>
  <c r="I2419" i="9" s="1"/>
  <c r="I663" i="9"/>
  <c r="H662" i="9"/>
  <c r="I662" i="9" s="1"/>
  <c r="I1034" i="9"/>
  <c r="I816" i="9"/>
  <c r="H815" i="9"/>
  <c r="I815" i="9" s="1"/>
  <c r="I2215" i="9"/>
  <c r="H2214" i="9"/>
  <c r="I779" i="9"/>
  <c r="H464" i="9"/>
  <c r="I465" i="9"/>
  <c r="H6" i="9"/>
  <c r="I7" i="9"/>
  <c r="H1199" i="9"/>
  <c r="I1200" i="9"/>
  <c r="H2191" i="9"/>
  <c r="I2191" i="9" s="1"/>
  <c r="I2192" i="9"/>
  <c r="H2160" i="9"/>
  <c r="I2160" i="9" s="1"/>
  <c r="I2161" i="9"/>
  <c r="H270" i="9"/>
  <c r="I271" i="9"/>
  <c r="H2574" i="9"/>
  <c r="I2575" i="9"/>
  <c r="I615" i="9" l="1"/>
  <c r="H578" i="9"/>
  <c r="I578" i="9" s="1"/>
  <c r="I1985" i="9"/>
  <c r="H778" i="9"/>
  <c r="I778" i="9" s="1"/>
  <c r="H2308" i="9"/>
  <c r="I2308" i="9" s="1"/>
  <c r="H2471" i="9"/>
  <c r="I2471" i="9" s="1"/>
  <c r="I1199" i="9"/>
  <c r="H1164" i="9"/>
  <c r="I1164" i="9" s="1"/>
  <c r="H2213" i="9"/>
  <c r="I2214" i="9"/>
  <c r="H269" i="9"/>
  <c r="I270" i="9"/>
  <c r="H463" i="9"/>
  <c r="I463" i="9" s="1"/>
  <c r="I464" i="9"/>
  <c r="I6" i="9"/>
  <c r="H1232" i="9"/>
  <c r="I1232" i="9" s="1"/>
  <c r="H1594" i="9"/>
  <c r="I1594" i="9" s="1"/>
  <c r="G701" i="9"/>
  <c r="I715" i="9"/>
  <c r="I2574" i="9"/>
  <c r="G2021" i="9"/>
  <c r="I2021" i="9" s="1"/>
  <c r="I2043" i="9"/>
  <c r="H2102" i="9"/>
  <c r="I2102" i="9" s="1"/>
  <c r="I1732" i="9"/>
  <c r="H1723" i="9"/>
  <c r="I1723" i="9" s="1"/>
  <c r="G2571" i="9" l="1"/>
  <c r="I701" i="9"/>
  <c r="I269" i="9"/>
  <c r="H268" i="9"/>
  <c r="H2201" i="9"/>
  <c r="I2201" i="9" s="1"/>
  <c r="I2213" i="9"/>
  <c r="I268" i="9" l="1"/>
  <c r="H2571" i="9"/>
  <c r="I2571" i="9" l="1"/>
  <c r="G723" i="8" l="1"/>
  <c r="G719" i="8"/>
  <c r="G718" i="8" s="1"/>
  <c r="G717" i="8" s="1"/>
  <c r="F719" i="8"/>
  <c r="F718" i="8" s="1"/>
  <c r="F717" i="8" s="1"/>
  <c r="E719" i="8"/>
  <c r="E718" i="8" s="1"/>
  <c r="E717" i="8" s="1"/>
  <c r="H715" i="8"/>
  <c r="G714" i="8"/>
  <c r="F714" i="8"/>
  <c r="F713" i="8" s="1"/>
  <c r="E714" i="8"/>
  <c r="E713" i="8" s="1"/>
  <c r="H711" i="8"/>
  <c r="H710" i="8"/>
  <c r="G708" i="8"/>
  <c r="F708" i="8"/>
  <c r="F707" i="8" s="1"/>
  <c r="E708" i="8"/>
  <c r="E707" i="8" s="1"/>
  <c r="G705" i="8"/>
  <c r="G702" i="8" s="1"/>
  <c r="H702" i="8" s="1"/>
  <c r="H704" i="8"/>
  <c r="G703" i="8"/>
  <c r="F703" i="8"/>
  <c r="F702" i="8" s="1"/>
  <c r="E703" i="8"/>
  <c r="E702" i="8" s="1"/>
  <c r="G699" i="8"/>
  <c r="F699" i="8"/>
  <c r="E699" i="8"/>
  <c r="G695" i="8"/>
  <c r="F695" i="8"/>
  <c r="E695" i="8"/>
  <c r="E694" i="8" s="1"/>
  <c r="H693" i="8"/>
  <c r="H692" i="8"/>
  <c r="G692" i="8"/>
  <c r="F692" i="8"/>
  <c r="E692" i="8"/>
  <c r="H691" i="8"/>
  <c r="H690" i="8"/>
  <c r="G689" i="8"/>
  <c r="F689" i="8"/>
  <c r="E689" i="8"/>
  <c r="E688" i="8" s="1"/>
  <c r="G686" i="8"/>
  <c r="F686" i="8"/>
  <c r="E686" i="8"/>
  <c r="G684" i="8"/>
  <c r="F684" i="8"/>
  <c r="F683" i="8" s="1"/>
  <c r="E684" i="8"/>
  <c r="G679" i="8"/>
  <c r="F679" i="8"/>
  <c r="E679" i="8"/>
  <c r="G675" i="8"/>
  <c r="F675" i="8"/>
  <c r="E675" i="8"/>
  <c r="G672" i="8"/>
  <c r="G669" i="8" s="1"/>
  <c r="F672" i="8"/>
  <c r="E672" i="8"/>
  <c r="H671" i="8"/>
  <c r="H670" i="8"/>
  <c r="G670" i="8"/>
  <c r="F670" i="8"/>
  <c r="E670" i="8"/>
  <c r="G667" i="8"/>
  <c r="F667" i="8"/>
  <c r="E667" i="8"/>
  <c r="H665" i="8"/>
  <c r="G663" i="8"/>
  <c r="F663" i="8"/>
  <c r="F662" i="8" s="1"/>
  <c r="E663" i="8"/>
  <c r="E662" i="8" s="1"/>
  <c r="G657" i="8"/>
  <c r="F657" i="8"/>
  <c r="F656" i="8" s="1"/>
  <c r="E657" i="8"/>
  <c r="E656" i="8" s="1"/>
  <c r="G656" i="8"/>
  <c r="G650" i="8"/>
  <c r="G649" i="8" s="1"/>
  <c r="F650" i="8"/>
  <c r="F649" i="8" s="1"/>
  <c r="E650" i="8"/>
  <c r="E649" i="8" s="1"/>
  <c r="H647" i="8"/>
  <c r="G645" i="8"/>
  <c r="H645" i="8" s="1"/>
  <c r="F645" i="8"/>
  <c r="F644" i="8" s="1"/>
  <c r="E645" i="8"/>
  <c r="E644" i="8" s="1"/>
  <c r="H642" i="8"/>
  <c r="H641" i="8"/>
  <c r="G639" i="8"/>
  <c r="F639" i="8"/>
  <c r="H639" i="8" s="1"/>
  <c r="E639" i="8"/>
  <c r="G638" i="8"/>
  <c r="E638" i="8"/>
  <c r="H634" i="8"/>
  <c r="H631" i="8"/>
  <c r="H630" i="8"/>
  <c r="H629" i="8"/>
  <c r="G628" i="8"/>
  <c r="G627" i="8" s="1"/>
  <c r="F628" i="8"/>
  <c r="F627" i="8" s="1"/>
  <c r="E628" i="8"/>
  <c r="E627" i="8" s="1"/>
  <c r="G626" i="8"/>
  <c r="G618" i="8" s="1"/>
  <c r="H623" i="8"/>
  <c r="G619" i="8"/>
  <c r="F619" i="8"/>
  <c r="H619" i="8" s="1"/>
  <c r="E619" i="8"/>
  <c r="E618" i="8" s="1"/>
  <c r="G616" i="8"/>
  <c r="H615" i="8"/>
  <c r="H614" i="8"/>
  <c r="G612" i="8"/>
  <c r="F612" i="8"/>
  <c r="F611" i="8" s="1"/>
  <c r="E612" i="8"/>
  <c r="E611" i="8"/>
  <c r="G610" i="8"/>
  <c r="H609" i="8"/>
  <c r="G608" i="8"/>
  <c r="G607" i="8" s="1"/>
  <c r="F608" i="8"/>
  <c r="F607" i="8" s="1"/>
  <c r="E608" i="8"/>
  <c r="E607" i="8" s="1"/>
  <c r="H604" i="8"/>
  <c r="G602" i="8"/>
  <c r="G601" i="8" s="1"/>
  <c r="F602" i="8"/>
  <c r="F601" i="8" s="1"/>
  <c r="E602" i="8"/>
  <c r="E601" i="8" s="1"/>
  <c r="G597" i="8"/>
  <c r="F597" i="8"/>
  <c r="E597" i="8"/>
  <c r="E596" i="8" s="1"/>
  <c r="E591" i="8" s="1"/>
  <c r="G593" i="8"/>
  <c r="G592" i="8" s="1"/>
  <c r="F593" i="8"/>
  <c r="F592" i="8" s="1"/>
  <c r="E593" i="8"/>
  <c r="E592" i="8" s="1"/>
  <c r="H590" i="8"/>
  <c r="G589" i="8"/>
  <c r="F589" i="8"/>
  <c r="E589" i="8"/>
  <c r="H588" i="8"/>
  <c r="H587" i="8"/>
  <c r="H586" i="8"/>
  <c r="H585" i="8"/>
  <c r="H584" i="8"/>
  <c r="H583" i="8"/>
  <c r="H582" i="8"/>
  <c r="H581" i="8"/>
  <c r="H580" i="8"/>
  <c r="H579" i="8"/>
  <c r="G578" i="8"/>
  <c r="F578" i="8"/>
  <c r="E578" i="8"/>
  <c r="E577" i="8" s="1"/>
  <c r="H573" i="8"/>
  <c r="H572" i="8"/>
  <c r="H571" i="8"/>
  <c r="H570" i="8"/>
  <c r="H569" i="8"/>
  <c r="H568" i="8"/>
  <c r="H567" i="8"/>
  <c r="H563" i="8"/>
  <c r="H560" i="8"/>
  <c r="G556" i="8"/>
  <c r="G555" i="8" s="1"/>
  <c r="F556" i="8"/>
  <c r="F555" i="8" s="1"/>
  <c r="E556" i="8"/>
  <c r="E555" i="8" s="1"/>
  <c r="H553" i="8"/>
  <c r="G552" i="8"/>
  <c r="F552" i="8"/>
  <c r="F551" i="8" s="1"/>
  <c r="E552" i="8"/>
  <c r="E551" i="8" s="1"/>
  <c r="G547" i="8"/>
  <c r="G546" i="8" s="1"/>
  <c r="F547" i="8"/>
  <c r="F546" i="8" s="1"/>
  <c r="E547" i="8"/>
  <c r="E546" i="8" s="1"/>
  <c r="H544" i="8"/>
  <c r="H542" i="8"/>
  <c r="H541" i="8"/>
  <c r="G540" i="8"/>
  <c r="F540" i="8"/>
  <c r="F523" i="8" s="1"/>
  <c r="E540" i="8"/>
  <c r="E523" i="8" s="1"/>
  <c r="H539" i="8"/>
  <c r="H538" i="8"/>
  <c r="H537" i="8"/>
  <c r="H535" i="8"/>
  <c r="H534" i="8"/>
  <c r="H533" i="8"/>
  <c r="H531" i="8"/>
  <c r="H530" i="8"/>
  <c r="H529" i="8"/>
  <c r="H528" i="8"/>
  <c r="H527" i="8"/>
  <c r="H526" i="8"/>
  <c r="H525" i="8"/>
  <c r="G524" i="8"/>
  <c r="H524" i="8" s="1"/>
  <c r="F524" i="8"/>
  <c r="E524" i="8"/>
  <c r="G522" i="8"/>
  <c r="H519" i="8"/>
  <c r="H517" i="8"/>
  <c r="H516" i="8"/>
  <c r="G512" i="8"/>
  <c r="F512" i="8"/>
  <c r="H512" i="8" s="1"/>
  <c r="E512" i="8"/>
  <c r="E511" i="8" s="1"/>
  <c r="G510" i="8"/>
  <c r="H508" i="8"/>
  <c r="G507" i="8"/>
  <c r="F507" i="8"/>
  <c r="F506" i="8" s="1"/>
  <c r="E507" i="8"/>
  <c r="E506" i="8" s="1"/>
  <c r="H504" i="8"/>
  <c r="G503" i="8"/>
  <c r="F503" i="8"/>
  <c r="E503" i="8"/>
  <c r="H502" i="8"/>
  <c r="H501" i="8"/>
  <c r="H500" i="8"/>
  <c r="H499" i="8"/>
  <c r="H498" i="8"/>
  <c r="G496" i="8"/>
  <c r="H496" i="8" s="1"/>
  <c r="F496" i="8"/>
  <c r="F495" i="8" s="1"/>
  <c r="E496" i="8"/>
  <c r="G494" i="8"/>
  <c r="H493" i="8"/>
  <c r="G492" i="8"/>
  <c r="F492" i="8"/>
  <c r="F491" i="8" s="1"/>
  <c r="E492" i="8"/>
  <c r="E491" i="8" s="1"/>
  <c r="G490" i="8"/>
  <c r="H489" i="8"/>
  <c r="G488" i="8"/>
  <c r="F488" i="8"/>
  <c r="F487" i="8" s="1"/>
  <c r="E488" i="8"/>
  <c r="E487" i="8" s="1"/>
  <c r="G486" i="8"/>
  <c r="G483" i="8"/>
  <c r="G482" i="8" s="1"/>
  <c r="F483" i="8"/>
  <c r="F482" i="8" s="1"/>
  <c r="E483" i="8"/>
  <c r="E482" i="8"/>
  <c r="G481" i="8"/>
  <c r="G478" i="8"/>
  <c r="F478" i="8"/>
  <c r="F477" i="8" s="1"/>
  <c r="E478" i="8"/>
  <c r="E477" i="8" s="1"/>
  <c r="G475" i="8"/>
  <c r="G473" i="8" s="1"/>
  <c r="F475" i="8"/>
  <c r="F473" i="8" s="1"/>
  <c r="E475" i="8"/>
  <c r="E473" i="8" s="1"/>
  <c r="H472" i="8"/>
  <c r="H471" i="8"/>
  <c r="G470" i="8"/>
  <c r="G468" i="8" s="1"/>
  <c r="F470" i="8"/>
  <c r="F468" i="8" s="1"/>
  <c r="E470" i="8"/>
  <c r="E468" i="8"/>
  <c r="G466" i="8"/>
  <c r="G464" i="8" s="1"/>
  <c r="F466" i="8"/>
  <c r="F464" i="8" s="1"/>
  <c r="E466" i="8"/>
  <c r="E464" i="8" s="1"/>
  <c r="H463" i="8"/>
  <c r="G462" i="8"/>
  <c r="F462" i="8"/>
  <c r="F460" i="8" s="1"/>
  <c r="E462" i="8"/>
  <c r="E460" i="8" s="1"/>
  <c r="H459" i="8"/>
  <c r="H457" i="8"/>
  <c r="H456" i="8"/>
  <c r="H455" i="8"/>
  <c r="G455" i="8"/>
  <c r="F455" i="8"/>
  <c r="E455" i="8"/>
  <c r="H453" i="8"/>
  <c r="G452" i="8"/>
  <c r="G451" i="8" s="1"/>
  <c r="F452" i="8"/>
  <c r="F451" i="8" s="1"/>
  <c r="E452" i="8"/>
  <c r="E451" i="8"/>
  <c r="H449" i="8"/>
  <c r="G448" i="8"/>
  <c r="F448" i="8"/>
  <c r="E448" i="8"/>
  <c r="H447" i="8"/>
  <c r="H446" i="8"/>
  <c r="G442" i="8"/>
  <c r="F442" i="8"/>
  <c r="E442" i="8"/>
  <c r="E441" i="8" s="1"/>
  <c r="H439" i="8"/>
  <c r="G438" i="8"/>
  <c r="G437" i="8" s="1"/>
  <c r="F438" i="8"/>
  <c r="F437" i="8" s="1"/>
  <c r="E438" i="8"/>
  <c r="E437" i="8" s="1"/>
  <c r="H434" i="8"/>
  <c r="H432" i="8"/>
  <c r="H431" i="8"/>
  <c r="G429" i="8"/>
  <c r="H429" i="8" s="1"/>
  <c r="F429" i="8"/>
  <c r="F428" i="8" s="1"/>
  <c r="E429" i="8"/>
  <c r="E428" i="8" s="1"/>
  <c r="G426" i="8"/>
  <c r="F426" i="8"/>
  <c r="E426" i="8"/>
  <c r="E410" i="8" s="1"/>
  <c r="H424" i="8"/>
  <c r="H423" i="8"/>
  <c r="H422" i="8"/>
  <c r="H421" i="8"/>
  <c r="H420" i="8"/>
  <c r="H419" i="8"/>
  <c r="H418" i="8"/>
  <c r="H417" i="8"/>
  <c r="H416" i="8"/>
  <c r="H415" i="8"/>
  <c r="H414" i="8"/>
  <c r="H412" i="8"/>
  <c r="G411" i="8"/>
  <c r="F411" i="8"/>
  <c r="E411" i="8"/>
  <c r="H405" i="8"/>
  <c r="G401" i="8"/>
  <c r="G400" i="8" s="1"/>
  <c r="F401" i="8"/>
  <c r="F400" i="8" s="1"/>
  <c r="E401" i="8"/>
  <c r="E400" i="8"/>
  <c r="H398" i="8"/>
  <c r="G397" i="8"/>
  <c r="G396" i="8" s="1"/>
  <c r="F397" i="8"/>
  <c r="F396" i="8" s="1"/>
  <c r="E397" i="8"/>
  <c r="E396" i="8" s="1"/>
  <c r="H394" i="8"/>
  <c r="H393" i="8"/>
  <c r="H392" i="8"/>
  <c r="G391" i="8"/>
  <c r="F391" i="8"/>
  <c r="E391" i="8"/>
  <c r="G390" i="8"/>
  <c r="F390" i="8"/>
  <c r="E390" i="8"/>
  <c r="H387" i="8"/>
  <c r="H385" i="8"/>
  <c r="G384" i="8"/>
  <c r="F384" i="8"/>
  <c r="E384" i="8"/>
  <c r="H383" i="8"/>
  <c r="H382" i="8"/>
  <c r="H381" i="8"/>
  <c r="H380" i="8"/>
  <c r="G378" i="8"/>
  <c r="F378" i="8"/>
  <c r="E378" i="8"/>
  <c r="E377" i="8" s="1"/>
  <c r="H375" i="8"/>
  <c r="H374" i="8"/>
  <c r="H373" i="8"/>
  <c r="H372" i="8"/>
  <c r="H371" i="8"/>
  <c r="G370" i="8"/>
  <c r="G363" i="8" s="1"/>
  <c r="F370" i="8"/>
  <c r="E370" i="8"/>
  <c r="H369" i="8"/>
  <c r="H368" i="8"/>
  <c r="H367" i="8"/>
  <c r="H366" i="8"/>
  <c r="H365" i="8"/>
  <c r="G364" i="8"/>
  <c r="F364" i="8"/>
  <c r="E364" i="8"/>
  <c r="H361" i="8"/>
  <c r="G360" i="8"/>
  <c r="F360" i="8"/>
  <c r="H360" i="8" s="1"/>
  <c r="E360" i="8"/>
  <c r="G359" i="8"/>
  <c r="F359" i="8"/>
  <c r="H359" i="8" s="1"/>
  <c r="E359" i="8"/>
  <c r="H357" i="8"/>
  <c r="G356" i="8"/>
  <c r="F356" i="8"/>
  <c r="F355" i="8" s="1"/>
  <c r="E356" i="8"/>
  <c r="E355" i="8" s="1"/>
  <c r="G353" i="8"/>
  <c r="G351" i="8" s="1"/>
  <c r="F353" i="8"/>
  <c r="F351" i="8" s="1"/>
  <c r="E353" i="8"/>
  <c r="E351" i="8" s="1"/>
  <c r="G348" i="8"/>
  <c r="G347" i="8" s="1"/>
  <c r="F348" i="8"/>
  <c r="F347" i="8" s="1"/>
  <c r="E348" i="8"/>
  <c r="E347" i="8" s="1"/>
  <c r="H345" i="8"/>
  <c r="G344" i="8"/>
  <c r="F344" i="8"/>
  <c r="H344" i="8" s="1"/>
  <c r="E344" i="8"/>
  <c r="E343" i="8" s="1"/>
  <c r="G343" i="8"/>
  <c r="H342" i="8"/>
  <c r="G341" i="8"/>
  <c r="F341" i="8"/>
  <c r="E341" i="8"/>
  <c r="H339" i="8"/>
  <c r="G338" i="8"/>
  <c r="F338" i="8"/>
  <c r="E338" i="8"/>
  <c r="H335" i="8"/>
  <c r="G334" i="8"/>
  <c r="G333" i="8" s="1"/>
  <c r="F334" i="8"/>
  <c r="F333" i="8" s="1"/>
  <c r="E334" i="8"/>
  <c r="E333" i="8" s="1"/>
  <c r="H330" i="8"/>
  <c r="H329" i="8"/>
  <c r="G328" i="8"/>
  <c r="H328" i="8" s="1"/>
  <c r="F328" i="8"/>
  <c r="F327" i="8" s="1"/>
  <c r="E328" i="8"/>
  <c r="E327" i="8" s="1"/>
  <c r="H325" i="8"/>
  <c r="H322" i="8"/>
  <c r="H321" i="8"/>
  <c r="G320" i="8"/>
  <c r="F320" i="8"/>
  <c r="F319" i="8" s="1"/>
  <c r="E320" i="8"/>
  <c r="G319" i="8"/>
  <c r="E319" i="8"/>
  <c r="H316" i="8"/>
  <c r="G315" i="8"/>
  <c r="F315" i="8"/>
  <c r="F314" i="8" s="1"/>
  <c r="F313" i="8" s="1"/>
  <c r="E315" i="8"/>
  <c r="E314" i="8" s="1"/>
  <c r="E313" i="8" s="1"/>
  <c r="H312" i="8"/>
  <c r="H311" i="8"/>
  <c r="H310" i="8"/>
  <c r="H309" i="8"/>
  <c r="H308" i="8"/>
  <c r="H307" i="8"/>
  <c r="H306" i="8"/>
  <c r="H305" i="8"/>
  <c r="G304" i="8"/>
  <c r="F304" i="8"/>
  <c r="E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G282" i="8"/>
  <c r="F282" i="8"/>
  <c r="F281" i="8" s="1"/>
  <c r="E282" i="8"/>
  <c r="H279" i="8"/>
  <c r="G278" i="8"/>
  <c r="F278" i="8"/>
  <c r="F277" i="8" s="1"/>
  <c r="E278" i="8"/>
  <c r="E277" i="8" s="1"/>
  <c r="H276" i="8"/>
  <c r="G275" i="8"/>
  <c r="F275" i="8"/>
  <c r="E275" i="8"/>
  <c r="H274" i="8"/>
  <c r="G273" i="8"/>
  <c r="F273" i="8"/>
  <c r="E273" i="8"/>
  <c r="G272" i="8"/>
  <c r="H269" i="8"/>
  <c r="H268" i="8"/>
  <c r="H267" i="8"/>
  <c r="H266" i="8"/>
  <c r="G263" i="8"/>
  <c r="G262" i="8" s="1"/>
  <c r="F263" i="8"/>
  <c r="F262" i="8" s="1"/>
  <c r="E263" i="8"/>
  <c r="E262" i="8" s="1"/>
  <c r="H260" i="8"/>
  <c r="H259" i="8"/>
  <c r="G258" i="8"/>
  <c r="F258" i="8"/>
  <c r="F257" i="8" s="1"/>
  <c r="E258" i="8"/>
  <c r="E257" i="8" s="1"/>
  <c r="G255" i="8"/>
  <c r="F255" i="8"/>
  <c r="E255" i="8"/>
  <c r="H254" i="8"/>
  <c r="H253" i="8"/>
  <c r="H252" i="8"/>
  <c r="H250" i="8"/>
  <c r="H248" i="8"/>
  <c r="H247" i="8"/>
  <c r="H246" i="8"/>
  <c r="G243" i="8"/>
  <c r="F243" i="8"/>
  <c r="E243" i="8"/>
  <c r="H240" i="8"/>
  <c r="H239" i="8"/>
  <c r="G238" i="8"/>
  <c r="G237" i="8" s="1"/>
  <c r="F238" i="8"/>
  <c r="F237" i="8" s="1"/>
  <c r="E238" i="8"/>
  <c r="E237" i="8" s="1"/>
  <c r="H233" i="8"/>
  <c r="H232" i="8"/>
  <c r="G231" i="8"/>
  <c r="G230" i="8" s="1"/>
  <c r="F230" i="8"/>
  <c r="F229" i="8" s="1"/>
  <c r="E230" i="8"/>
  <c r="E229" i="8" s="1"/>
  <c r="G224" i="8"/>
  <c r="G223" i="8" s="1"/>
  <c r="F224" i="8"/>
  <c r="F223" i="8" s="1"/>
  <c r="E224" i="8"/>
  <c r="E223" i="8" s="1"/>
  <c r="G219" i="8"/>
  <c r="G218" i="8" s="1"/>
  <c r="F219" i="8"/>
  <c r="F218" i="8" s="1"/>
  <c r="E219" i="8"/>
  <c r="E218" i="8"/>
  <c r="G215" i="8"/>
  <c r="F215" i="8"/>
  <c r="E215" i="8"/>
  <c r="H214" i="8"/>
  <c r="G207" i="8"/>
  <c r="F207" i="8"/>
  <c r="F206" i="8" s="1"/>
  <c r="F205" i="8" s="1"/>
  <c r="E207" i="8"/>
  <c r="E206" i="8" s="1"/>
  <c r="E205" i="8" s="1"/>
  <c r="G204" i="8"/>
  <c r="H204" i="8" s="1"/>
  <c r="G203" i="8"/>
  <c r="H203" i="8" s="1"/>
  <c r="E202" i="8"/>
  <c r="E201" i="8" s="1"/>
  <c r="G201" i="8" s="1"/>
  <c r="H201" i="8" s="1"/>
  <c r="H199" i="8"/>
  <c r="H198" i="8"/>
  <c r="H197" i="8"/>
  <c r="H196" i="8"/>
  <c r="H194" i="8"/>
  <c r="G193" i="8"/>
  <c r="F193" i="8"/>
  <c r="F192" i="8" s="1"/>
  <c r="E193" i="8"/>
  <c r="E192" i="8" s="1"/>
  <c r="G192" i="8"/>
  <c r="H190" i="8"/>
  <c r="G189" i="8"/>
  <c r="F189" i="8"/>
  <c r="E189" i="8"/>
  <c r="E188" i="8" s="1"/>
  <c r="F188" i="8"/>
  <c r="G186" i="8"/>
  <c r="F186" i="8"/>
  <c r="E186" i="8"/>
  <c r="H185" i="8"/>
  <c r="H183" i="8"/>
  <c r="H182" i="8"/>
  <c r="G181" i="8"/>
  <c r="F181" i="8"/>
  <c r="E181" i="8"/>
  <c r="E180" i="8" s="1"/>
  <c r="G180" i="8"/>
  <c r="H175" i="8"/>
  <c r="H174" i="8"/>
  <c r="H173" i="8"/>
  <c r="H168" i="8"/>
  <c r="H167" i="8"/>
  <c r="H165" i="8"/>
  <c r="H164" i="8"/>
  <c r="G163" i="8"/>
  <c r="F163" i="8"/>
  <c r="F162" i="8" s="1"/>
  <c r="F161" i="8" s="1"/>
  <c r="E163" i="8"/>
  <c r="E162" i="8" s="1"/>
  <c r="E161" i="8" s="1"/>
  <c r="H158" i="8"/>
  <c r="G157" i="8"/>
  <c r="F157" i="8"/>
  <c r="F156" i="8" s="1"/>
  <c r="E157" i="8"/>
  <c r="E156" i="8" s="1"/>
  <c r="H153" i="8"/>
  <c r="G150" i="8"/>
  <c r="F150" i="8"/>
  <c r="E150" i="8"/>
  <c r="E149" i="8" s="1"/>
  <c r="F149" i="8"/>
  <c r="H146" i="8"/>
  <c r="H145" i="8"/>
  <c r="H144" i="8"/>
  <c r="G143" i="8"/>
  <c r="F143" i="8"/>
  <c r="H143" i="8" s="1"/>
  <c r="E143" i="8"/>
  <c r="E142" i="8" s="1"/>
  <c r="G142" i="8"/>
  <c r="H140" i="8"/>
  <c r="G139" i="8"/>
  <c r="G138" i="8" s="1"/>
  <c r="F139" i="8"/>
  <c r="F138" i="8" s="1"/>
  <c r="E139" i="8"/>
  <c r="E138" i="8" s="1"/>
  <c r="H137" i="8"/>
  <c r="H136" i="8"/>
  <c r="H135" i="8"/>
  <c r="H134" i="8"/>
  <c r="H132" i="8"/>
  <c r="H131" i="8"/>
  <c r="H130" i="8"/>
  <c r="H127" i="8"/>
  <c r="H125" i="8"/>
  <c r="H124" i="8"/>
  <c r="H123" i="8"/>
  <c r="G120" i="8"/>
  <c r="F120" i="8"/>
  <c r="E120" i="8"/>
  <c r="H119" i="8"/>
  <c r="H118" i="8"/>
  <c r="H117" i="8"/>
  <c r="H116" i="8"/>
  <c r="H108" i="8"/>
  <c r="G105" i="8"/>
  <c r="F105" i="8"/>
  <c r="E105" i="8"/>
  <c r="E104" i="8" s="1"/>
  <c r="G103" i="8"/>
  <c r="H101" i="8"/>
  <c r="G100" i="8"/>
  <c r="H100" i="8" s="1"/>
  <c r="F100" i="8"/>
  <c r="E100" i="8"/>
  <c r="E99" i="8" s="1"/>
  <c r="F99" i="8"/>
  <c r="H96" i="8"/>
  <c r="H95" i="8"/>
  <c r="G93" i="8"/>
  <c r="F93" i="8"/>
  <c r="F92" i="8" s="1"/>
  <c r="E93" i="8"/>
  <c r="E92" i="8" s="1"/>
  <c r="G92" i="8"/>
  <c r="H91" i="8"/>
  <c r="H90" i="8"/>
  <c r="H89" i="8"/>
  <c r="G88" i="8"/>
  <c r="F88" i="8"/>
  <c r="E88" i="8"/>
  <c r="H87" i="8"/>
  <c r="G86" i="8"/>
  <c r="G85" i="8" s="1"/>
  <c r="F86" i="8"/>
  <c r="F85" i="8" s="1"/>
  <c r="E86" i="8"/>
  <c r="H84" i="8"/>
  <c r="G83" i="8"/>
  <c r="F83" i="8"/>
  <c r="E83" i="8"/>
  <c r="H81" i="8"/>
  <c r="H80" i="8"/>
  <c r="H79" i="8"/>
  <c r="H78" i="8"/>
  <c r="H75" i="8"/>
  <c r="H74" i="8"/>
  <c r="G73" i="8"/>
  <c r="F73" i="8"/>
  <c r="F72" i="8" s="1"/>
  <c r="E73" i="8"/>
  <c r="G72" i="8"/>
  <c r="G69" i="8"/>
  <c r="F69" i="8"/>
  <c r="E69" i="8"/>
  <c r="H68" i="8"/>
  <c r="H67" i="8"/>
  <c r="H66" i="8"/>
  <c r="H65" i="8"/>
  <c r="G64" i="8"/>
  <c r="H64" i="8" s="1"/>
  <c r="F64" i="8"/>
  <c r="E64" i="8"/>
  <c r="E63" i="8" s="1"/>
  <c r="H62" i="8"/>
  <c r="H61" i="8"/>
  <c r="G60" i="8"/>
  <c r="F60" i="8"/>
  <c r="E60" i="8"/>
  <c r="H59" i="8"/>
  <c r="H58" i="8"/>
  <c r="H57" i="8"/>
  <c r="G56" i="8"/>
  <c r="F56" i="8"/>
  <c r="E56" i="8"/>
  <c r="H52" i="8"/>
  <c r="G50" i="8"/>
  <c r="G49" i="8" s="1"/>
  <c r="G48" i="8" s="1"/>
  <c r="F50" i="8"/>
  <c r="F49" i="8" s="1"/>
  <c r="E50" i="8"/>
  <c r="E49" i="8"/>
  <c r="E48" i="8" s="1"/>
  <c r="H46" i="8"/>
  <c r="H45" i="8"/>
  <c r="G44" i="8"/>
  <c r="G43" i="8" s="1"/>
  <c r="F44" i="8"/>
  <c r="F43" i="8" s="1"/>
  <c r="F42" i="8" s="1"/>
  <c r="E44" i="8"/>
  <c r="E43" i="8"/>
  <c r="E42" i="8" s="1"/>
  <c r="H39" i="8"/>
  <c r="H38" i="8"/>
  <c r="H37" i="8"/>
  <c r="G34" i="8"/>
  <c r="G33" i="8" s="1"/>
  <c r="H33" i="8" s="1"/>
  <c r="F34" i="8"/>
  <c r="F33" i="8" s="1"/>
  <c r="E34" i="8"/>
  <c r="E33" i="8" s="1"/>
  <c r="G31" i="8"/>
  <c r="F31" i="8"/>
  <c r="F25" i="8" s="1"/>
  <c r="E31" i="8"/>
  <c r="H30" i="8"/>
  <c r="H29" i="8"/>
  <c r="H27" i="8"/>
  <c r="G26" i="8"/>
  <c r="F26" i="8"/>
  <c r="E26" i="8"/>
  <c r="H23" i="8"/>
  <c r="H22" i="8"/>
  <c r="G20" i="8"/>
  <c r="F20" i="8"/>
  <c r="F19" i="8" s="1"/>
  <c r="E20" i="8"/>
  <c r="E19" i="8" s="1"/>
  <c r="G17" i="8"/>
  <c r="F17" i="8"/>
  <c r="E17" i="8"/>
  <c r="H16" i="8"/>
  <c r="H14" i="8"/>
  <c r="H13" i="8"/>
  <c r="G12" i="8"/>
  <c r="H12" i="8" s="1"/>
  <c r="F12" i="8"/>
  <c r="E12" i="8"/>
  <c r="G11" i="8"/>
  <c r="F113" i="3"/>
  <c r="F111" i="3"/>
  <c r="H30" i="4"/>
  <c r="H29" i="4" s="1"/>
  <c r="I30" i="4"/>
  <c r="I29" i="4" s="1"/>
  <c r="K29" i="4"/>
  <c r="J29" i="4"/>
  <c r="F29" i="4"/>
  <c r="E29" i="4"/>
  <c r="H400" i="8" l="1"/>
  <c r="H262" i="8"/>
  <c r="H43" i="8"/>
  <c r="H451" i="8"/>
  <c r="H468" i="8"/>
  <c r="H495" i="8"/>
  <c r="H192" i="8"/>
  <c r="H231" i="8"/>
  <c r="H708" i="8"/>
  <c r="E148" i="8"/>
  <c r="H180" i="8"/>
  <c r="F242" i="8"/>
  <c r="F236" i="8" s="1"/>
  <c r="E272" i="8"/>
  <c r="H390" i="8"/>
  <c r="H470" i="8"/>
  <c r="H488" i="8"/>
  <c r="G662" i="8"/>
  <c r="F11" i="8"/>
  <c r="H11" i="8" s="1"/>
  <c r="E85" i="8"/>
  <c r="H189" i="8"/>
  <c r="H193" i="8"/>
  <c r="E242" i="8"/>
  <c r="H281" i="8"/>
  <c r="F337" i="8"/>
  <c r="H507" i="8"/>
  <c r="E674" i="8"/>
  <c r="G707" i="8"/>
  <c r="H707" i="8" s="1"/>
  <c r="F55" i="8"/>
  <c r="F54" i="8" s="1"/>
  <c r="E72" i="8"/>
  <c r="E71" i="8" s="1"/>
  <c r="F180" i="8"/>
  <c r="G281" i="8"/>
  <c r="F318" i="8"/>
  <c r="E318" i="8"/>
  <c r="F410" i="8"/>
  <c r="G727" i="8"/>
  <c r="G694" i="8"/>
  <c r="E25" i="8"/>
  <c r="H56" i="8"/>
  <c r="H60" i="8"/>
  <c r="F142" i="8"/>
  <c r="H142" i="8" s="1"/>
  <c r="H181" i="8"/>
  <c r="H243" i="8"/>
  <c r="H315" i="8"/>
  <c r="F343" i="8"/>
  <c r="H343" i="8" s="1"/>
  <c r="H391" i="8"/>
  <c r="H442" i="8"/>
  <c r="G477" i="8"/>
  <c r="G495" i="8"/>
  <c r="H578" i="8"/>
  <c r="H26" i="8"/>
  <c r="H44" i="8"/>
  <c r="H401" i="8"/>
  <c r="H552" i="8"/>
  <c r="H714" i="8"/>
  <c r="F104" i="8"/>
  <c r="H263" i="8"/>
  <c r="E363" i="8"/>
  <c r="H363" i="8"/>
  <c r="F600" i="8"/>
  <c r="F179" i="8"/>
  <c r="H282" i="8"/>
  <c r="F363" i="8"/>
  <c r="F441" i="8"/>
  <c r="F577" i="8"/>
  <c r="F618" i="8"/>
  <c r="H618" i="8" s="1"/>
  <c r="H627" i="8"/>
  <c r="F694" i="8"/>
  <c r="H437" i="8"/>
  <c r="G644" i="8"/>
  <c r="H644" i="8" s="1"/>
  <c r="E55" i="8"/>
  <c r="E54" i="8" s="1"/>
  <c r="H73" i="8"/>
  <c r="H85" i="8"/>
  <c r="E179" i="8"/>
  <c r="H319" i="8"/>
  <c r="H333" i="8"/>
  <c r="F389" i="8"/>
  <c r="G428" i="8"/>
  <c r="H428" i="8" s="1"/>
  <c r="G42" i="8"/>
  <c r="H42" i="8" s="1"/>
  <c r="G63" i="8"/>
  <c r="H150" i="8"/>
  <c r="F148" i="8"/>
  <c r="F217" i="8"/>
  <c r="G242" i="8"/>
  <c r="H242" i="8" s="1"/>
  <c r="H273" i="8"/>
  <c r="H275" i="8"/>
  <c r="E281" i="8"/>
  <c r="E236" i="8" s="1"/>
  <c r="G314" i="8"/>
  <c r="H314" i="8" s="1"/>
  <c r="G327" i="8"/>
  <c r="G318" i="8" s="1"/>
  <c r="H318" i="8" s="1"/>
  <c r="E337" i="8"/>
  <c r="E332" i="8" s="1"/>
  <c r="H364" i="8"/>
  <c r="H370" i="8"/>
  <c r="F377" i="8"/>
  <c r="H384" i="8"/>
  <c r="H438" i="8"/>
  <c r="G511" i="8"/>
  <c r="H608" i="8"/>
  <c r="F669" i="8"/>
  <c r="F674" i="8"/>
  <c r="G674" i="8"/>
  <c r="G683" i="8"/>
  <c r="F706" i="8"/>
  <c r="H669" i="8"/>
  <c r="F63" i="8"/>
  <c r="H63" i="8" s="1"/>
  <c r="H69" i="8"/>
  <c r="H88" i="8"/>
  <c r="G99" i="8"/>
  <c r="H99" i="8" s="1"/>
  <c r="H120" i="8"/>
  <c r="G188" i="8"/>
  <c r="H188" i="8" s="1"/>
  <c r="G202" i="8"/>
  <c r="H202" i="8" s="1"/>
  <c r="H258" i="8"/>
  <c r="H320" i="8"/>
  <c r="H334" i="8"/>
  <c r="G337" i="8"/>
  <c r="H356" i="8"/>
  <c r="H397" i="8"/>
  <c r="G410" i="8"/>
  <c r="H410" i="8" s="1"/>
  <c r="F450" i="8"/>
  <c r="G487" i="8"/>
  <c r="H487" i="8" s="1"/>
  <c r="E495" i="8"/>
  <c r="E505" i="8"/>
  <c r="F545" i="8"/>
  <c r="H555" i="8"/>
  <c r="H628" i="8"/>
  <c r="E669" i="8"/>
  <c r="F688" i="8"/>
  <c r="E706" i="8"/>
  <c r="H20" i="8"/>
  <c r="G19" i="8"/>
  <c r="H49" i="8"/>
  <c r="F48" i="8"/>
  <c r="H48" i="8" s="1"/>
  <c r="E11" i="8"/>
  <c r="E10" i="8" s="1"/>
  <c r="G25" i="8"/>
  <c r="H25" i="8" s="1"/>
  <c r="H72" i="8"/>
  <c r="H92" i="8"/>
  <c r="H138" i="8"/>
  <c r="G491" i="8"/>
  <c r="H491" i="8" s="1"/>
  <c r="E545" i="8"/>
  <c r="H105" i="8"/>
  <c r="G149" i="8"/>
  <c r="H157" i="8"/>
  <c r="H327" i="8"/>
  <c r="H411" i="8"/>
  <c r="G523" i="8"/>
  <c r="H523" i="8" s="1"/>
  <c r="H540" i="8"/>
  <c r="G551" i="8"/>
  <c r="G577" i="8"/>
  <c r="H589" i="8"/>
  <c r="F726" i="8"/>
  <c r="H50" i="8"/>
  <c r="G156" i="8"/>
  <c r="H156" i="8" s="1"/>
  <c r="H207" i="8"/>
  <c r="G206" i="8"/>
  <c r="G355" i="8"/>
  <c r="H355" i="8" s="1"/>
  <c r="H492" i="8"/>
  <c r="G596" i="8"/>
  <c r="G591" i="8" s="1"/>
  <c r="G726" i="8"/>
  <c r="H607" i="8"/>
  <c r="G55" i="8"/>
  <c r="H34" i="8"/>
  <c r="E217" i="8"/>
  <c r="F727" i="8"/>
  <c r="F272" i="8"/>
  <c r="H272" i="8" s="1"/>
  <c r="G313" i="8"/>
  <c r="H313" i="8" s="1"/>
  <c r="H378" i="8"/>
  <c r="E389" i="8"/>
  <c r="H556" i="8"/>
  <c r="H612" i="8"/>
  <c r="G611" i="8"/>
  <c r="H611" i="8" s="1"/>
  <c r="F638" i="8"/>
  <c r="H638" i="8" s="1"/>
  <c r="G104" i="8"/>
  <c r="H163" i="8"/>
  <c r="H278" i="8"/>
  <c r="H304" i="8"/>
  <c r="H338" i="8"/>
  <c r="G377" i="8"/>
  <c r="H377" i="8" s="1"/>
  <c r="H462" i="8"/>
  <c r="G460" i="8"/>
  <c r="G506" i="8"/>
  <c r="H93" i="8"/>
  <c r="H139" i="8"/>
  <c r="G162" i="8"/>
  <c r="H230" i="8"/>
  <c r="G229" i="8"/>
  <c r="H237" i="8"/>
  <c r="G257" i="8"/>
  <c r="G277" i="8"/>
  <c r="H277" i="8" s="1"/>
  <c r="H341" i="8"/>
  <c r="H396" i="8"/>
  <c r="H448" i="8"/>
  <c r="G441" i="8"/>
  <c r="H441" i="8" s="1"/>
  <c r="E450" i="8"/>
  <c r="H503" i="8"/>
  <c r="F511" i="8"/>
  <c r="F596" i="8"/>
  <c r="F591" i="8" s="1"/>
  <c r="G617" i="8"/>
  <c r="G713" i="8"/>
  <c r="H689" i="8"/>
  <c r="H238" i="8"/>
  <c r="E727" i="8"/>
  <c r="E726" i="8"/>
  <c r="E600" i="8"/>
  <c r="E617" i="8"/>
  <c r="E683" i="8"/>
  <c r="E655" i="8" s="1"/>
  <c r="G688" i="8"/>
  <c r="H703" i="8"/>
  <c r="H22" i="7"/>
  <c r="G22" i="7"/>
  <c r="F22" i="7"/>
  <c r="E22" i="7"/>
  <c r="G264" i="6"/>
  <c r="M127" i="6"/>
  <c r="L127" i="6"/>
  <c r="K127" i="6"/>
  <c r="J127" i="6"/>
  <c r="I127" i="6" s="1"/>
  <c r="I125" i="6"/>
  <c r="H125" i="6" s="1"/>
  <c r="G125" i="6" s="1"/>
  <c r="O125" i="6" s="1"/>
  <c r="I124" i="6"/>
  <c r="H124" i="6" s="1"/>
  <c r="G124" i="6" s="1"/>
  <c r="O124" i="6" s="1"/>
  <c r="I123" i="6"/>
  <c r="H123" i="6" s="1"/>
  <c r="G123" i="6" s="1"/>
  <c r="O123" i="6" s="1"/>
  <c r="I122" i="6"/>
  <c r="H122" i="6" s="1"/>
  <c r="G122" i="6" s="1"/>
  <c r="O122" i="6" s="1"/>
  <c r="I121" i="6"/>
  <c r="H121" i="6" s="1"/>
  <c r="G121" i="6"/>
  <c r="O121" i="6" s="1"/>
  <c r="I120" i="6"/>
  <c r="H120" i="6" s="1"/>
  <c r="G120" i="6" s="1"/>
  <c r="O120" i="6" s="1"/>
  <c r="I119" i="6"/>
  <c r="H119" i="6" s="1"/>
  <c r="G119" i="6" s="1"/>
  <c r="O119" i="6" s="1"/>
  <c r="I118" i="6"/>
  <c r="H118" i="6" s="1"/>
  <c r="G118" i="6" s="1"/>
  <c r="O118" i="6" s="1"/>
  <c r="I117" i="6"/>
  <c r="H117" i="6" s="1"/>
  <c r="G117" i="6" s="1"/>
  <c r="O117" i="6" s="1"/>
  <c r="I116" i="6"/>
  <c r="H116" i="6" s="1"/>
  <c r="G116" i="6" s="1"/>
  <c r="O116" i="6" s="1"/>
  <c r="I115" i="6"/>
  <c r="H115" i="6" s="1"/>
  <c r="G115" i="6" s="1"/>
  <c r="O115" i="6" s="1"/>
  <c r="I114" i="6"/>
  <c r="H114" i="6" s="1"/>
  <c r="G114" i="6" s="1"/>
  <c r="O114" i="6" s="1"/>
  <c r="I113" i="6"/>
  <c r="H113" i="6" s="1"/>
  <c r="G113" i="6" s="1"/>
  <c r="O113" i="6" s="1"/>
  <c r="I112" i="6"/>
  <c r="H112" i="6" s="1"/>
  <c r="G112" i="6" s="1"/>
  <c r="O112" i="6" s="1"/>
  <c r="I111" i="6"/>
  <c r="H111" i="6" s="1"/>
  <c r="G111" i="6" s="1"/>
  <c r="O111" i="6" s="1"/>
  <c r="I109" i="6"/>
  <c r="H109" i="6" s="1"/>
  <c r="G109" i="6" s="1"/>
  <c r="O109" i="6" s="1"/>
  <c r="I108" i="6"/>
  <c r="H108" i="6" s="1"/>
  <c r="G108" i="6"/>
  <c r="O108" i="6" s="1"/>
  <c r="I107" i="6"/>
  <c r="H107" i="6" s="1"/>
  <c r="G107" i="6" s="1"/>
  <c r="O107" i="6" s="1"/>
  <c r="I106" i="6"/>
  <c r="H106" i="6" s="1"/>
  <c r="G106" i="6" s="1"/>
  <c r="O106" i="6" s="1"/>
  <c r="I105" i="6"/>
  <c r="H105" i="6" s="1"/>
  <c r="G105" i="6" s="1"/>
  <c r="O105" i="6" s="1"/>
  <c r="H104" i="6"/>
  <c r="G104" i="6" s="1"/>
  <c r="O104" i="6" s="1"/>
  <c r="M103" i="6"/>
  <c r="M102" i="6" s="1"/>
  <c r="K103" i="6"/>
  <c r="K102" i="6" s="1"/>
  <c r="J103" i="6"/>
  <c r="J102" i="6" s="1"/>
  <c r="F103" i="6"/>
  <c r="F102" i="6" s="1"/>
  <c r="E103" i="6"/>
  <c r="E102" i="6" s="1"/>
  <c r="O101" i="6"/>
  <c r="O100" i="6"/>
  <c r="O99" i="6"/>
  <c r="M98" i="6"/>
  <c r="M97" i="6" s="1"/>
  <c r="L98" i="6"/>
  <c r="L97" i="6" s="1"/>
  <c r="K98" i="6"/>
  <c r="K97" i="6" s="1"/>
  <c r="J98" i="6"/>
  <c r="I98" i="6"/>
  <c r="I97" i="6" s="1"/>
  <c r="H98" i="6"/>
  <c r="H97" i="6" s="1"/>
  <c r="G98" i="6"/>
  <c r="F98" i="6"/>
  <c r="F97" i="6" s="1"/>
  <c r="E98" i="6"/>
  <c r="J97" i="6"/>
  <c r="E97" i="6"/>
  <c r="I96" i="6"/>
  <c r="H96" i="6" s="1"/>
  <c r="G96" i="6" s="1"/>
  <c r="O96" i="6" s="1"/>
  <c r="I95" i="6"/>
  <c r="H95" i="6" s="1"/>
  <c r="G95" i="6" s="1"/>
  <c r="O95" i="6" s="1"/>
  <c r="K94" i="6"/>
  <c r="J94" i="6"/>
  <c r="I94" i="6"/>
  <c r="H94" i="6" s="1"/>
  <c r="G94" i="6" s="1"/>
  <c r="F94" i="6"/>
  <c r="E94" i="6"/>
  <c r="I93" i="6"/>
  <c r="H93" i="6" s="1"/>
  <c r="O92" i="6"/>
  <c r="I92" i="6"/>
  <c r="H92" i="6" s="1"/>
  <c r="G92" i="6" s="1"/>
  <c r="I91" i="6"/>
  <c r="H91" i="6" s="1"/>
  <c r="G91" i="6" s="1"/>
  <c r="O91" i="6" s="1"/>
  <c r="I90" i="6"/>
  <c r="H90" i="6" s="1"/>
  <c r="G90" i="6" s="1"/>
  <c r="O90" i="6" s="1"/>
  <c r="N89" i="6"/>
  <c r="L89" i="6"/>
  <c r="L84" i="6" s="1"/>
  <c r="K89" i="6"/>
  <c r="J89" i="6"/>
  <c r="F89" i="6"/>
  <c r="E89" i="6"/>
  <c r="I88" i="6"/>
  <c r="H88" i="6" s="1"/>
  <c r="G88" i="6" s="1"/>
  <c r="O88" i="6" s="1"/>
  <c r="K87" i="6"/>
  <c r="I87" i="6" s="1"/>
  <c r="H87" i="6"/>
  <c r="F87" i="6"/>
  <c r="E87" i="6"/>
  <c r="G86" i="6"/>
  <c r="O86" i="6" s="1"/>
  <c r="N85" i="6"/>
  <c r="F85" i="6"/>
  <c r="E85" i="6"/>
  <c r="M84" i="6"/>
  <c r="O83" i="6"/>
  <c r="I82" i="6"/>
  <c r="H82" i="6" s="1"/>
  <c r="G82" i="6" s="1"/>
  <c r="O82" i="6" s="1"/>
  <c r="K81" i="6"/>
  <c r="F81" i="6"/>
  <c r="F80" i="6" s="1"/>
  <c r="E81" i="6"/>
  <c r="E80" i="6" s="1"/>
  <c r="O79" i="6"/>
  <c r="O78" i="6"/>
  <c r="M77" i="6"/>
  <c r="M76" i="6" s="1"/>
  <c r="K77" i="6"/>
  <c r="J77" i="6"/>
  <c r="J76" i="6" s="1"/>
  <c r="F77" i="6"/>
  <c r="F76" i="6" s="1"/>
  <c r="E77" i="6"/>
  <c r="N76" i="6"/>
  <c r="L76" i="6"/>
  <c r="K76" i="6"/>
  <c r="E76" i="6"/>
  <c r="I75" i="6"/>
  <c r="H75" i="6" s="1"/>
  <c r="G75" i="6" s="1"/>
  <c r="O75" i="6" s="1"/>
  <c r="I72" i="6"/>
  <c r="H72" i="6" s="1"/>
  <c r="G72" i="6" s="1"/>
  <c r="O72" i="6" s="1"/>
  <c r="I71" i="6"/>
  <c r="H71" i="6" s="1"/>
  <c r="G71" i="6" s="1"/>
  <c r="O71" i="6" s="1"/>
  <c r="I70" i="6"/>
  <c r="H70" i="6" s="1"/>
  <c r="G70" i="6"/>
  <c r="O70" i="6" s="1"/>
  <c r="I68" i="6"/>
  <c r="H68" i="6" s="1"/>
  <c r="G68" i="6" s="1"/>
  <c r="O68" i="6" s="1"/>
  <c r="I67" i="6"/>
  <c r="H67" i="6" s="1"/>
  <c r="G67" i="6" s="1"/>
  <c r="O67" i="6" s="1"/>
  <c r="I66" i="6"/>
  <c r="H66" i="6" s="1"/>
  <c r="G66" i="6" s="1"/>
  <c r="O66" i="6" s="1"/>
  <c r="I65" i="6"/>
  <c r="H65" i="6" s="1"/>
  <c r="G65" i="6" s="1"/>
  <c r="O65" i="6" s="1"/>
  <c r="N64" i="6"/>
  <c r="N53" i="6" s="1"/>
  <c r="M64" i="6"/>
  <c r="M53" i="6" s="1"/>
  <c r="K64" i="6"/>
  <c r="J64" i="6"/>
  <c r="F64" i="6"/>
  <c r="E64" i="6"/>
  <c r="I63" i="6"/>
  <c r="H63" i="6" s="1"/>
  <c r="G63" i="6" s="1"/>
  <c r="O63" i="6" s="1"/>
  <c r="I62" i="6"/>
  <c r="H62" i="6" s="1"/>
  <c r="G62" i="6" s="1"/>
  <c r="O62" i="6" s="1"/>
  <c r="I61" i="6"/>
  <c r="H61" i="6" s="1"/>
  <c r="G61" i="6" s="1"/>
  <c r="O61" i="6" s="1"/>
  <c r="O60" i="6"/>
  <c r="I59" i="6"/>
  <c r="H59" i="6" s="1"/>
  <c r="G59" i="6" s="1"/>
  <c r="O59" i="6" s="1"/>
  <c r="K58" i="6"/>
  <c r="J58" i="6"/>
  <c r="F58" i="6"/>
  <c r="E58" i="6"/>
  <c r="I57" i="6"/>
  <c r="H57" i="6" s="1"/>
  <c r="G57" i="6" s="1"/>
  <c r="I56" i="6"/>
  <c r="H56" i="6" s="1"/>
  <c r="G56" i="6" s="1"/>
  <c r="O56" i="6" s="1"/>
  <c r="I55" i="6"/>
  <c r="H55" i="6" s="1"/>
  <c r="G55" i="6" s="1"/>
  <c r="O55" i="6" s="1"/>
  <c r="K54" i="6"/>
  <c r="J54" i="6"/>
  <c r="F54" i="6"/>
  <c r="E54" i="6"/>
  <c r="K51" i="6"/>
  <c r="I51" i="6"/>
  <c r="H51" i="6" s="1"/>
  <c r="G51" i="6" s="1"/>
  <c r="F51" i="6"/>
  <c r="E51" i="6"/>
  <c r="I50" i="6"/>
  <c r="H50" i="6" s="1"/>
  <c r="G50" i="6" s="1"/>
  <c r="O50" i="6" s="1"/>
  <c r="I49" i="6"/>
  <c r="H49" i="6" s="1"/>
  <c r="G49" i="6"/>
  <c r="O49" i="6" s="1"/>
  <c r="I48" i="6"/>
  <c r="H48" i="6" s="1"/>
  <c r="G48" i="6" s="1"/>
  <c r="O48" i="6" s="1"/>
  <c r="I47" i="6"/>
  <c r="H47" i="6" s="1"/>
  <c r="G47" i="6" s="1"/>
  <c r="O47" i="6" s="1"/>
  <c r="K46" i="6"/>
  <c r="J46" i="6"/>
  <c r="F46" i="6"/>
  <c r="E46" i="6"/>
  <c r="E45" i="6" s="1"/>
  <c r="N45" i="6"/>
  <c r="J45" i="6"/>
  <c r="I44" i="6"/>
  <c r="H44" i="6" s="1"/>
  <c r="G44" i="6" s="1"/>
  <c r="O44" i="6" s="1"/>
  <c r="I43" i="6"/>
  <c r="H43" i="6" s="1"/>
  <c r="G43" i="6" s="1"/>
  <c r="O43" i="6" s="1"/>
  <c r="I42" i="6"/>
  <c r="H42" i="6" s="1"/>
  <c r="G42" i="6" s="1"/>
  <c r="O42" i="6" s="1"/>
  <c r="K41" i="6"/>
  <c r="K40" i="6" s="1"/>
  <c r="J41" i="6"/>
  <c r="I41" i="6" s="1"/>
  <c r="I40" i="6" s="1"/>
  <c r="F41" i="6"/>
  <c r="F40" i="6" s="1"/>
  <c r="E41" i="6"/>
  <c r="E40" i="6" s="1"/>
  <c r="I39" i="6"/>
  <c r="H39" i="6"/>
  <c r="G39" i="6" s="1"/>
  <c r="O39" i="6" s="1"/>
  <c r="I38" i="6"/>
  <c r="H38" i="6" s="1"/>
  <c r="G38" i="6" s="1"/>
  <c r="O38" i="6" s="1"/>
  <c r="I37" i="6"/>
  <c r="H37" i="6" s="1"/>
  <c r="G37" i="6" s="1"/>
  <c r="O37" i="6" s="1"/>
  <c r="I36" i="6"/>
  <c r="H36" i="6" s="1"/>
  <c r="G36" i="6" s="1"/>
  <c r="O36" i="6" s="1"/>
  <c r="K35" i="6"/>
  <c r="J35" i="6"/>
  <c r="J29" i="6" s="1"/>
  <c r="F35" i="6"/>
  <c r="E35" i="6"/>
  <c r="H34" i="6"/>
  <c r="G34" i="6" s="1"/>
  <c r="O34" i="6" s="1"/>
  <c r="H33" i="6"/>
  <c r="G33" i="6" s="1"/>
  <c r="O33" i="6" s="1"/>
  <c r="H32" i="6"/>
  <c r="G32" i="6" s="1"/>
  <c r="O32" i="6" s="1"/>
  <c r="H31" i="6"/>
  <c r="G31" i="6" s="1"/>
  <c r="O31" i="6" s="1"/>
  <c r="L30" i="6"/>
  <c r="H30" i="6" s="1"/>
  <c r="F30" i="6"/>
  <c r="E30" i="6"/>
  <c r="K29" i="6"/>
  <c r="I28" i="6"/>
  <c r="H28" i="6" s="1"/>
  <c r="G28" i="6" s="1"/>
  <c r="O28" i="6" s="1"/>
  <c r="I27" i="6"/>
  <c r="H27" i="6"/>
  <c r="G27" i="6" s="1"/>
  <c r="O27" i="6" s="1"/>
  <c r="I26" i="6"/>
  <c r="H26" i="6" s="1"/>
  <c r="G26" i="6" s="1"/>
  <c r="O26" i="6" s="1"/>
  <c r="I25" i="6"/>
  <c r="H25" i="6" s="1"/>
  <c r="G25" i="6" s="1"/>
  <c r="O25" i="6" s="1"/>
  <c r="K24" i="6"/>
  <c r="J24" i="6"/>
  <c r="F24" i="6"/>
  <c r="E24" i="6"/>
  <c r="N8" i="6"/>
  <c r="N7" i="6" s="1"/>
  <c r="M8" i="6"/>
  <c r="M7" i="6" s="1"/>
  <c r="K8" i="6"/>
  <c r="J8" i="6"/>
  <c r="F8" i="6"/>
  <c r="F7" i="6" s="1"/>
  <c r="E8" i="6"/>
  <c r="E7" i="6" s="1"/>
  <c r="D168" i="5"/>
  <c r="G57" i="5"/>
  <c r="I56" i="5"/>
  <c r="I59" i="5" s="1"/>
  <c r="G56" i="5"/>
  <c r="H51" i="5"/>
  <c r="G50" i="5"/>
  <c r="G49" i="5" s="1"/>
  <c r="F50" i="5"/>
  <c r="E50" i="5"/>
  <c r="E49" i="5" s="1"/>
  <c r="F49" i="5"/>
  <c r="H48" i="5"/>
  <c r="G47" i="5"/>
  <c r="F47" i="5"/>
  <c r="F46" i="5" s="1"/>
  <c r="E47" i="5"/>
  <c r="E46" i="5" s="1"/>
  <c r="H45" i="5"/>
  <c r="G44" i="5"/>
  <c r="F44" i="5"/>
  <c r="E44" i="5"/>
  <c r="H43" i="5"/>
  <c r="G42" i="5"/>
  <c r="F42" i="5"/>
  <c r="E42" i="5"/>
  <c r="H41" i="5"/>
  <c r="G40" i="5"/>
  <c r="F40" i="5"/>
  <c r="E40" i="5"/>
  <c r="H39" i="5"/>
  <c r="G38" i="5"/>
  <c r="F38" i="5"/>
  <c r="E38" i="5"/>
  <c r="H36" i="5"/>
  <c r="G35" i="5"/>
  <c r="G34" i="5" s="1"/>
  <c r="F35" i="5"/>
  <c r="F34" i="5" s="1"/>
  <c r="E35" i="5"/>
  <c r="E34" i="5" s="1"/>
  <c r="H33" i="5"/>
  <c r="G32" i="5"/>
  <c r="G31" i="5" s="1"/>
  <c r="F32" i="5"/>
  <c r="E32" i="5"/>
  <c r="E31" i="5" s="1"/>
  <c r="F31" i="5"/>
  <c r="H30" i="5"/>
  <c r="G29" i="5"/>
  <c r="F29" i="5"/>
  <c r="H29" i="5" s="1"/>
  <c r="E29" i="5"/>
  <c r="H28" i="5"/>
  <c r="G27" i="5"/>
  <c r="F27" i="5"/>
  <c r="E27" i="5"/>
  <c r="H26" i="5"/>
  <c r="G25" i="5"/>
  <c r="F25" i="5"/>
  <c r="E25" i="5"/>
  <c r="G22" i="5"/>
  <c r="F22" i="5"/>
  <c r="E22" i="5"/>
  <c r="H21" i="5"/>
  <c r="G20" i="5"/>
  <c r="F20" i="5"/>
  <c r="E20" i="5"/>
  <c r="H18" i="5"/>
  <c r="G17" i="5"/>
  <c r="F17" i="5"/>
  <c r="F16" i="5" s="1"/>
  <c r="E17" i="5"/>
  <c r="E16" i="5"/>
  <c r="H15" i="5"/>
  <c r="G14" i="5"/>
  <c r="F14" i="5"/>
  <c r="E14" i="5"/>
  <c r="H13" i="5"/>
  <c r="G12" i="5"/>
  <c r="F12" i="5"/>
  <c r="E12" i="5"/>
  <c r="E11" i="5"/>
  <c r="H10" i="5"/>
  <c r="G9" i="5"/>
  <c r="F9" i="5"/>
  <c r="E9" i="5"/>
  <c r="H8" i="5"/>
  <c r="H7" i="5"/>
  <c r="G6" i="5"/>
  <c r="G5" i="5" s="1"/>
  <c r="F6" i="5"/>
  <c r="H6" i="5" s="1"/>
  <c r="E6" i="5"/>
  <c r="I89" i="6" l="1"/>
  <c r="H89" i="6" s="1"/>
  <c r="G89" i="6" s="1"/>
  <c r="O89" i="6" s="1"/>
  <c r="F10" i="8"/>
  <c r="F724" i="8" s="1"/>
  <c r="G655" i="8"/>
  <c r="E5" i="5"/>
  <c r="I8" i="6"/>
  <c r="H8" i="6" s="1"/>
  <c r="I24" i="6"/>
  <c r="H24" i="6" s="1"/>
  <c r="G24" i="6" s="1"/>
  <c r="O24" i="6" s="1"/>
  <c r="N84" i="6"/>
  <c r="J84" i="6"/>
  <c r="H688" i="8"/>
  <c r="H577" i="8"/>
  <c r="H20" i="5"/>
  <c r="O93" i="6"/>
  <c r="G93" i="6"/>
  <c r="F71" i="8"/>
  <c r="F19" i="5"/>
  <c r="H337" i="8"/>
  <c r="F655" i="8"/>
  <c r="E29" i="6"/>
  <c r="F332" i="8"/>
  <c r="G179" i="8"/>
  <c r="H179" i="8" s="1"/>
  <c r="H229" i="8"/>
  <c r="G217" i="8"/>
  <c r="H217" i="8" s="1"/>
  <c r="H149" i="8"/>
  <c r="G148" i="8"/>
  <c r="H148" i="8" s="1"/>
  <c r="G389" i="8"/>
  <c r="H389" i="8" s="1"/>
  <c r="H511" i="8"/>
  <c r="F505" i="8"/>
  <c r="H257" i="8"/>
  <c r="G236" i="8"/>
  <c r="H236" i="8" s="1"/>
  <c r="H162" i="8"/>
  <c r="G161" i="8"/>
  <c r="H161" i="8" s="1"/>
  <c r="H506" i="8"/>
  <c r="G505" i="8"/>
  <c r="H726" i="8"/>
  <c r="H206" i="8"/>
  <c r="G205" i="8"/>
  <c r="H205" i="8" s="1"/>
  <c r="F617" i="8"/>
  <c r="H617" i="8" s="1"/>
  <c r="E724" i="8"/>
  <c r="H19" i="8"/>
  <c r="G10" i="8"/>
  <c r="H55" i="8"/>
  <c r="G54" i="8"/>
  <c r="H54" i="8" s="1"/>
  <c r="H727" i="8"/>
  <c r="H713" i="8"/>
  <c r="G706" i="8"/>
  <c r="H706" i="8" s="1"/>
  <c r="H460" i="8"/>
  <c r="G450" i="8"/>
  <c r="H450" i="8" s="1"/>
  <c r="G332" i="8"/>
  <c r="H332" i="8" s="1"/>
  <c r="H104" i="8"/>
  <c r="G71" i="8"/>
  <c r="H71" i="8" s="1"/>
  <c r="G600" i="8"/>
  <c r="H600" i="8" s="1"/>
  <c r="G545" i="8"/>
  <c r="H545" i="8" s="1"/>
  <c r="H551" i="8"/>
  <c r="H49" i="5"/>
  <c r="K53" i="6"/>
  <c r="H17" i="5"/>
  <c r="H25" i="5"/>
  <c r="G24" i="5"/>
  <c r="H42" i="5"/>
  <c r="H44" i="5"/>
  <c r="L29" i="6"/>
  <c r="L126" i="6" s="1"/>
  <c r="L130" i="6" s="1"/>
  <c r="I64" i="6"/>
  <c r="H64" i="6" s="1"/>
  <c r="G64" i="6" s="1"/>
  <c r="H9" i="5"/>
  <c r="G19" i="5"/>
  <c r="H19" i="5" s="1"/>
  <c r="H47" i="5"/>
  <c r="G59" i="5"/>
  <c r="J7" i="6"/>
  <c r="F45" i="6"/>
  <c r="E24" i="5"/>
  <c r="E37" i="5"/>
  <c r="G46" i="5"/>
  <c r="H50" i="5"/>
  <c r="K7" i="6"/>
  <c r="F29" i="6"/>
  <c r="I102" i="6"/>
  <c r="I103" i="6"/>
  <c r="H103" i="6" s="1"/>
  <c r="G103" i="6" s="1"/>
  <c r="O103" i="6" s="1"/>
  <c r="G85" i="6"/>
  <c r="O85" i="6" s="1"/>
  <c r="F84" i="6"/>
  <c r="M126" i="6"/>
  <c r="M130" i="6" s="1"/>
  <c r="H34" i="5"/>
  <c r="H38" i="5"/>
  <c r="I84" i="6"/>
  <c r="E19" i="5"/>
  <c r="H31" i="5"/>
  <c r="H35" i="5"/>
  <c r="I35" i="6"/>
  <c r="H35" i="6" s="1"/>
  <c r="G35" i="6" s="1"/>
  <c r="O35" i="6" s="1"/>
  <c r="I54" i="6"/>
  <c r="H54" i="6" s="1"/>
  <c r="F53" i="6"/>
  <c r="F126" i="6" s="1"/>
  <c r="H12" i="5"/>
  <c r="F5" i="5"/>
  <c r="H5" i="5" s="1"/>
  <c r="G16" i="5"/>
  <c r="H16" i="5" s="1"/>
  <c r="N126" i="6"/>
  <c r="N130" i="6" s="1"/>
  <c r="K45" i="6"/>
  <c r="O64" i="6"/>
  <c r="O94" i="6"/>
  <c r="J40" i="6"/>
  <c r="F11" i="5"/>
  <c r="F37" i="5"/>
  <c r="H46" i="5"/>
  <c r="G11" i="5"/>
  <c r="G37" i="5"/>
  <c r="H37" i="5" s="1"/>
  <c r="H32" i="5"/>
  <c r="H41" i="6"/>
  <c r="E53" i="6"/>
  <c r="H102" i="6"/>
  <c r="G102" i="6" s="1"/>
  <c r="O102" i="6" s="1"/>
  <c r="H127" i="6"/>
  <c r="G127" i="6" s="1"/>
  <c r="H29" i="6"/>
  <c r="G30" i="6"/>
  <c r="I81" i="6"/>
  <c r="K80" i="6"/>
  <c r="H27" i="5"/>
  <c r="I29" i="6"/>
  <c r="O98" i="6"/>
  <c r="G97" i="6"/>
  <c r="O97" i="6" s="1"/>
  <c r="G87" i="6"/>
  <c r="H84" i="6"/>
  <c r="H14" i="5"/>
  <c r="F24" i="5"/>
  <c r="H40" i="5"/>
  <c r="I7" i="6"/>
  <c r="I46" i="6"/>
  <c r="I58" i="6"/>
  <c r="H58" i="6" s="1"/>
  <c r="G58" i="6" s="1"/>
  <c r="O58" i="6" s="1"/>
  <c r="J53" i="6"/>
  <c r="I76" i="6"/>
  <c r="H76" i="6" s="1"/>
  <c r="G76" i="6" s="1"/>
  <c r="O76" i="6" s="1"/>
  <c r="E84" i="6"/>
  <c r="E126" i="6" s="1"/>
  <c r="I77" i="6"/>
  <c r="H77" i="6" s="1"/>
  <c r="G77" i="6" s="1"/>
  <c r="O77" i="6" s="1"/>
  <c r="K84" i="6"/>
  <c r="K126" i="6" s="1"/>
  <c r="K130" i="6" s="1"/>
  <c r="G8" i="6" l="1"/>
  <c r="G7" i="6" s="1"/>
  <c r="O7" i="6" s="1"/>
  <c r="H7" i="6"/>
  <c r="J126" i="6"/>
  <c r="J130" i="6" s="1"/>
  <c r="F52" i="5"/>
  <c r="H24" i="5"/>
  <c r="H655" i="8"/>
  <c r="E52" i="5"/>
  <c r="H505" i="8"/>
  <c r="H10" i="8"/>
  <c r="G724" i="8"/>
  <c r="H724" i="8" s="1"/>
  <c r="H11" i="5"/>
  <c r="G41" i="6"/>
  <c r="H40" i="6"/>
  <c r="H52" i="5"/>
  <c r="G52" i="5"/>
  <c r="H46" i="6"/>
  <c r="I45" i="6"/>
  <c r="H81" i="6"/>
  <c r="I80" i="6"/>
  <c r="O87" i="6"/>
  <c r="G84" i="6"/>
  <c r="O84" i="6" s="1"/>
  <c r="I53" i="6"/>
  <c r="O30" i="6"/>
  <c r="G29" i="6"/>
  <c r="O29" i="6" s="1"/>
  <c r="H53" i="6"/>
  <c r="G54" i="6"/>
  <c r="I126" i="6" l="1"/>
  <c r="G40" i="6"/>
  <c r="O40" i="6" s="1"/>
  <c r="O41" i="6"/>
  <c r="H80" i="6"/>
  <c r="G81" i="6"/>
  <c r="O54" i="6"/>
  <c r="G53" i="6"/>
  <c r="O53" i="6" s="1"/>
  <c r="H45" i="6"/>
  <c r="H126" i="6" s="1"/>
  <c r="G46" i="6"/>
  <c r="G45" i="6" l="1"/>
  <c r="O46" i="6"/>
  <c r="G80" i="6"/>
  <c r="O80" i="6" s="1"/>
  <c r="O81" i="6"/>
  <c r="O45" i="6" l="1"/>
  <c r="G126" i="6"/>
  <c r="O126" i="6" s="1"/>
  <c r="G80" i="3" l="1"/>
  <c r="G79" i="3" s="1"/>
  <c r="H80" i="3"/>
  <c r="H79" i="3" s="1"/>
  <c r="F81" i="3"/>
  <c r="F80" i="3" s="1"/>
  <c r="F79" i="3" s="1"/>
  <c r="E80" i="3"/>
  <c r="E79" i="3" s="1"/>
  <c r="H102" i="3" l="1"/>
  <c r="G102" i="3"/>
  <c r="E102" i="3"/>
  <c r="F104" i="3"/>
  <c r="F103" i="3"/>
  <c r="F100" i="3"/>
  <c r="F102" i="3" l="1"/>
  <c r="H84" i="3"/>
  <c r="G84" i="3"/>
  <c r="E84" i="3"/>
  <c r="H33" i="2"/>
  <c r="E33" i="2"/>
  <c r="F51" i="2"/>
  <c r="I24" i="4"/>
  <c r="F23" i="4"/>
  <c r="E23" i="4"/>
  <c r="I22" i="4"/>
  <c r="F21" i="4"/>
  <c r="E21" i="4"/>
  <c r="F85" i="3" l="1"/>
  <c r="F84" i="3" s="1"/>
  <c r="I41" i="4"/>
  <c r="I38" i="4"/>
  <c r="I37" i="4"/>
  <c r="I36" i="4"/>
  <c r="I35" i="4"/>
  <c r="I34" i="4"/>
  <c r="I32" i="4"/>
  <c r="I19" i="4" l="1"/>
  <c r="I20" i="4"/>
  <c r="I18" i="4"/>
  <c r="F117" i="3" l="1"/>
  <c r="F115" i="3"/>
  <c r="G98" i="3"/>
  <c r="E98" i="3"/>
  <c r="E48" i="3"/>
  <c r="E44" i="3"/>
  <c r="H8" i="3"/>
  <c r="G8" i="3"/>
  <c r="F9" i="3"/>
  <c r="E8" i="3"/>
  <c r="E7" i="3" s="1"/>
  <c r="E43" i="3" l="1"/>
  <c r="I69" i="4"/>
  <c r="I68" i="4"/>
  <c r="I67" i="4"/>
  <c r="I66" i="4"/>
  <c r="I65" i="4"/>
  <c r="K64" i="4"/>
  <c r="J64" i="4"/>
  <c r="H64" i="4"/>
  <c r="F64" i="4"/>
  <c r="E64" i="4"/>
  <c r="I63" i="4"/>
  <c r="I62" i="4"/>
  <c r="I61" i="4"/>
  <c r="I60" i="4"/>
  <c r="K59" i="4"/>
  <c r="J59" i="4"/>
  <c r="H59" i="4"/>
  <c r="F59" i="4"/>
  <c r="E59" i="4"/>
  <c r="I57" i="4"/>
  <c r="I56" i="4"/>
  <c r="I54" i="4"/>
  <c r="I53" i="4"/>
  <c r="K52" i="4"/>
  <c r="J52" i="4"/>
  <c r="H52" i="4"/>
  <c r="F52" i="4"/>
  <c r="E52" i="4"/>
  <c r="I51" i="4"/>
  <c r="I50" i="4"/>
  <c r="I49" i="4"/>
  <c r="F49" i="4"/>
  <c r="I48" i="4"/>
  <c r="I47" i="4"/>
  <c r="E46" i="4"/>
  <c r="I44" i="4"/>
  <c r="I43" i="4" s="1"/>
  <c r="K43" i="4"/>
  <c r="J43" i="4"/>
  <c r="H43" i="4"/>
  <c r="K40" i="4"/>
  <c r="K39" i="4" s="1"/>
  <c r="J40" i="4"/>
  <c r="J39" i="4" s="1"/>
  <c r="I40" i="4"/>
  <c r="I39" i="4" s="1"/>
  <c r="H40" i="4"/>
  <c r="H39" i="4" s="1"/>
  <c r="F40" i="4"/>
  <c r="F39" i="4" s="1"/>
  <c r="E40" i="4"/>
  <c r="E39" i="4" s="1"/>
  <c r="F33" i="4"/>
  <c r="E33" i="4"/>
  <c r="K31" i="4"/>
  <c r="K28" i="4" s="1"/>
  <c r="J31" i="4"/>
  <c r="J28" i="4" s="1"/>
  <c r="I31" i="4"/>
  <c r="I28" i="4" s="1"/>
  <c r="H31" i="4"/>
  <c r="H28" i="4" s="1"/>
  <c r="F31" i="4"/>
  <c r="F28" i="4" s="1"/>
  <c r="E31" i="4"/>
  <c r="K26" i="4"/>
  <c r="J26" i="4"/>
  <c r="J25" i="4" s="1"/>
  <c r="I26" i="4"/>
  <c r="I25" i="4" s="1"/>
  <c r="H26" i="4"/>
  <c r="F26" i="4"/>
  <c r="F25" i="4" s="1"/>
  <c r="E26" i="4"/>
  <c r="E25" i="4" s="1"/>
  <c r="K25" i="4"/>
  <c r="F17" i="4"/>
  <c r="F16" i="4" s="1"/>
  <c r="E17" i="4"/>
  <c r="E16" i="4" s="1"/>
  <c r="I15" i="4"/>
  <c r="I14" i="4"/>
  <c r="I13" i="4"/>
  <c r="I12" i="4"/>
  <c r="I11" i="4"/>
  <c r="I10" i="4"/>
  <c r="I9" i="4"/>
  <c r="K8" i="4"/>
  <c r="K7" i="4" s="1"/>
  <c r="J8" i="4"/>
  <c r="J7" i="4" s="1"/>
  <c r="H8" i="4"/>
  <c r="H7" i="4" s="1"/>
  <c r="F8" i="4"/>
  <c r="F7" i="4" s="1"/>
  <c r="E8" i="4"/>
  <c r="E7" i="4" s="1"/>
  <c r="H25" i="4" l="1"/>
  <c r="E28" i="4"/>
  <c r="J45" i="4"/>
  <c r="E45" i="4"/>
  <c r="E70" i="4" s="1"/>
  <c r="H45" i="4"/>
  <c r="F45" i="4"/>
  <c r="I52" i="4"/>
  <c r="I64" i="4"/>
  <c r="K45" i="4"/>
  <c r="I59" i="4"/>
  <c r="I8" i="4"/>
  <c r="I7" i="4" s="1"/>
  <c r="I45" i="4" l="1"/>
  <c r="K70" i="4"/>
  <c r="J15" i="2"/>
  <c r="H43" i="2" l="1"/>
  <c r="F43" i="2"/>
  <c r="I47" i="2"/>
  <c r="J45" i="2"/>
  <c r="F29" i="2"/>
  <c r="E29" i="2"/>
  <c r="K16" i="2"/>
  <c r="I16" i="2" s="1"/>
  <c r="H110" i="3" l="1"/>
  <c r="G110" i="3"/>
  <c r="F110" i="3"/>
  <c r="E110" i="3"/>
  <c r="H112" i="3"/>
  <c r="G112" i="3"/>
  <c r="F112" i="3"/>
  <c r="E112" i="3"/>
  <c r="F108" i="3"/>
  <c r="F106" i="3" l="1"/>
  <c r="H71" i="3"/>
  <c r="G71" i="3"/>
  <c r="E71" i="3"/>
  <c r="F72" i="3"/>
  <c r="F59" i="3"/>
  <c r="F58" i="3" s="1"/>
  <c r="H58" i="3"/>
  <c r="G58" i="3"/>
  <c r="E58" i="3"/>
  <c r="F53" i="3"/>
  <c r="F52" i="3" s="1"/>
  <c r="F51" i="3" s="1"/>
  <c r="H52" i="3"/>
  <c r="H51" i="3" s="1"/>
  <c r="G52" i="3"/>
  <c r="G51" i="3" s="1"/>
  <c r="E52" i="3"/>
  <c r="E51" i="3" s="1"/>
  <c r="H48" i="3"/>
  <c r="G48" i="3"/>
  <c r="F49" i="3"/>
  <c r="F50" i="3"/>
  <c r="H40" i="3"/>
  <c r="G40" i="3"/>
  <c r="E40" i="3"/>
  <c r="F42" i="3"/>
  <c r="F41" i="3"/>
  <c r="F21" i="3"/>
  <c r="H20" i="3"/>
  <c r="G20" i="3"/>
  <c r="E20" i="3"/>
  <c r="K43" i="2"/>
  <c r="J43" i="2"/>
  <c r="E43" i="2"/>
  <c r="F48" i="3" l="1"/>
  <c r="F40" i="3"/>
  <c r="F20" i="3"/>
  <c r="I30" i="2"/>
  <c r="I29" i="2" s="1"/>
  <c r="I28" i="2" s="1"/>
  <c r="K29" i="2"/>
  <c r="K28" i="2" s="1"/>
  <c r="J29" i="2"/>
  <c r="J28" i="2" s="1"/>
  <c r="F28" i="2"/>
  <c r="E28" i="2"/>
  <c r="H28" i="2"/>
  <c r="I15" i="2"/>
  <c r="I13" i="2"/>
  <c r="I12" i="2"/>
  <c r="K11" i="2"/>
  <c r="J11" i="2"/>
  <c r="H11" i="2"/>
  <c r="F11" i="2"/>
  <c r="E11" i="2"/>
  <c r="K8" i="2"/>
  <c r="J8" i="2"/>
  <c r="H8" i="2"/>
  <c r="F8" i="2"/>
  <c r="E8" i="2"/>
  <c r="I10" i="2"/>
  <c r="I11" i="2" l="1"/>
  <c r="F129" i="3" l="1"/>
  <c r="F128" i="3"/>
  <c r="H127" i="3"/>
  <c r="G127" i="3"/>
  <c r="E127" i="3"/>
  <c r="F126" i="3"/>
  <c r="F125" i="3" s="1"/>
  <c r="H125" i="3"/>
  <c r="G125" i="3"/>
  <c r="E125" i="3"/>
  <c r="F124" i="3"/>
  <c r="F123" i="3" s="1"/>
  <c r="H123" i="3"/>
  <c r="G123" i="3"/>
  <c r="E123" i="3"/>
  <c r="F122" i="3"/>
  <c r="F121" i="3"/>
  <c r="H120" i="3"/>
  <c r="G120" i="3"/>
  <c r="E120" i="3"/>
  <c r="H114" i="3"/>
  <c r="G114" i="3"/>
  <c r="E114" i="3"/>
  <c r="H105" i="3"/>
  <c r="G105" i="3"/>
  <c r="E105" i="3"/>
  <c r="F99" i="3"/>
  <c r="F98" i="3" s="1"/>
  <c r="H98" i="3"/>
  <c r="H95" i="3"/>
  <c r="E95" i="3"/>
  <c r="F94" i="3"/>
  <c r="F93" i="3" s="1"/>
  <c r="F92" i="3" s="1"/>
  <c r="H93" i="3"/>
  <c r="H92" i="3" s="1"/>
  <c r="G93" i="3"/>
  <c r="G92" i="3" s="1"/>
  <c r="E93" i="3"/>
  <c r="E92" i="3" s="1"/>
  <c r="F91" i="3"/>
  <c r="F90" i="3" s="1"/>
  <c r="F89" i="3" s="1"/>
  <c r="H90" i="3"/>
  <c r="H89" i="3" s="1"/>
  <c r="G90" i="3"/>
  <c r="G89" i="3" s="1"/>
  <c r="E90" i="3"/>
  <c r="E89" i="3" s="1"/>
  <c r="F88" i="3"/>
  <c r="F87" i="3" s="1"/>
  <c r="H87" i="3"/>
  <c r="G87" i="3"/>
  <c r="E87" i="3"/>
  <c r="F78" i="3"/>
  <c r="F77" i="3"/>
  <c r="H76" i="3"/>
  <c r="G76" i="3"/>
  <c r="E76" i="3"/>
  <c r="F75" i="3"/>
  <c r="F74" i="3" s="1"/>
  <c r="H74" i="3"/>
  <c r="G74" i="3"/>
  <c r="E74" i="3"/>
  <c r="F73" i="3"/>
  <c r="F71" i="3" s="1"/>
  <c r="F69" i="3"/>
  <c r="F68" i="3" s="1"/>
  <c r="H68" i="3"/>
  <c r="G68" i="3"/>
  <c r="E68" i="3"/>
  <c r="F67" i="3"/>
  <c r="F66" i="3"/>
  <c r="H65" i="3"/>
  <c r="G65" i="3"/>
  <c r="E65" i="3"/>
  <c r="F63" i="3"/>
  <c r="H62" i="3"/>
  <c r="H57" i="3" s="1"/>
  <c r="G62" i="3"/>
  <c r="G57" i="3" s="1"/>
  <c r="E62" i="3"/>
  <c r="E57" i="3" s="1"/>
  <c r="F61" i="3"/>
  <c r="F60" i="3" s="1"/>
  <c r="H60" i="3"/>
  <c r="G60" i="3"/>
  <c r="E60" i="3"/>
  <c r="F56" i="3"/>
  <c r="F55" i="3" s="1"/>
  <c r="F54" i="3" s="1"/>
  <c r="H55" i="3"/>
  <c r="H54" i="3" s="1"/>
  <c r="G55" i="3"/>
  <c r="G54" i="3" s="1"/>
  <c r="E55" i="3"/>
  <c r="E54" i="3" s="1"/>
  <c r="F47" i="3"/>
  <c r="F45" i="3"/>
  <c r="H44" i="3"/>
  <c r="G44" i="3"/>
  <c r="F39" i="3"/>
  <c r="F38" i="3" s="1"/>
  <c r="H38" i="3"/>
  <c r="G38" i="3"/>
  <c r="E38" i="3"/>
  <c r="F36" i="3"/>
  <c r="F35" i="3" s="1"/>
  <c r="H35" i="3"/>
  <c r="G35" i="3"/>
  <c r="E35" i="3"/>
  <c r="F34" i="3"/>
  <c r="F32" i="3"/>
  <c r="H31" i="3"/>
  <c r="G31" i="3"/>
  <c r="E31" i="3"/>
  <c r="F30" i="3"/>
  <c r="F29" i="3" s="1"/>
  <c r="H29" i="3"/>
  <c r="G29" i="3"/>
  <c r="E29" i="3"/>
  <c r="F28" i="3"/>
  <c r="F27" i="3" s="1"/>
  <c r="H27" i="3"/>
  <c r="G27" i="3"/>
  <c r="E27" i="3"/>
  <c r="F26" i="3"/>
  <c r="F25" i="3" s="1"/>
  <c r="H25" i="3"/>
  <c r="G25" i="3"/>
  <c r="E25" i="3"/>
  <c r="F24" i="3"/>
  <c r="F23" i="3"/>
  <c r="H22" i="3"/>
  <c r="G22" i="3"/>
  <c r="E22" i="3"/>
  <c r="F19" i="3"/>
  <c r="F18" i="3"/>
  <c r="F17" i="3"/>
  <c r="H16" i="3"/>
  <c r="G16" i="3"/>
  <c r="E16" i="3"/>
  <c r="F15" i="3"/>
  <c r="H14" i="3"/>
  <c r="G14" i="3"/>
  <c r="E14" i="3"/>
  <c r="F12" i="3"/>
  <c r="F11" i="3"/>
  <c r="F10" i="3"/>
  <c r="H7" i="3"/>
  <c r="G7" i="3"/>
  <c r="I46" i="2"/>
  <c r="I43" i="2"/>
  <c r="I45" i="2"/>
  <c r="I44" i="2"/>
  <c r="K41" i="2"/>
  <c r="J41" i="2"/>
  <c r="H41" i="2"/>
  <c r="F41" i="2"/>
  <c r="E41" i="2"/>
  <c r="J39" i="2"/>
  <c r="K39" i="2"/>
  <c r="H39" i="2"/>
  <c r="F39" i="2"/>
  <c r="E39" i="2"/>
  <c r="I37" i="2"/>
  <c r="K37" i="2"/>
  <c r="J37" i="2"/>
  <c r="H37" i="2"/>
  <c r="F37" i="2"/>
  <c r="E37" i="2"/>
  <c r="I34" i="2"/>
  <c r="I33" i="2" s="1"/>
  <c r="I32" i="2" s="1"/>
  <c r="K33" i="2"/>
  <c r="K32" i="2" s="1"/>
  <c r="J33" i="2"/>
  <c r="J32" i="2" s="1"/>
  <c r="F33" i="2"/>
  <c r="F32" i="2" s="1"/>
  <c r="E32" i="2"/>
  <c r="H32" i="2"/>
  <c r="K26" i="2"/>
  <c r="K25" i="2" s="1"/>
  <c r="J26" i="2"/>
  <c r="J25" i="2" s="1"/>
  <c r="I26" i="2"/>
  <c r="I25" i="2" s="1"/>
  <c r="H26" i="2"/>
  <c r="H25" i="2" s="1"/>
  <c r="F26" i="2"/>
  <c r="F25" i="2" s="1"/>
  <c r="E26" i="2"/>
  <c r="E25" i="2" s="1"/>
  <c r="K23" i="2"/>
  <c r="K22" i="2" s="1"/>
  <c r="J23" i="2"/>
  <c r="H23" i="2"/>
  <c r="H22" i="2" s="1"/>
  <c r="F23" i="2"/>
  <c r="F22" i="2" s="1"/>
  <c r="E23" i="2"/>
  <c r="E22" i="2" s="1"/>
  <c r="K20" i="2"/>
  <c r="J20" i="2"/>
  <c r="H20" i="2"/>
  <c r="F20" i="2"/>
  <c r="E20" i="2"/>
  <c r="K14" i="2"/>
  <c r="H14" i="2"/>
  <c r="F14" i="2"/>
  <c r="E14" i="2"/>
  <c r="I9" i="2"/>
  <c r="I8" i="2" s="1"/>
  <c r="E7" i="2" l="1"/>
  <c r="F7" i="2"/>
  <c r="E70" i="3"/>
  <c r="G70" i="3"/>
  <c r="E119" i="3"/>
  <c r="E13" i="3"/>
  <c r="E64" i="3"/>
  <c r="H70" i="3"/>
  <c r="E101" i="3"/>
  <c r="G101" i="3"/>
  <c r="I41" i="2"/>
  <c r="F8" i="3"/>
  <c r="F7" i="3" s="1"/>
  <c r="H7" i="2"/>
  <c r="H101" i="3"/>
  <c r="K7" i="2"/>
  <c r="I20" i="2"/>
  <c r="F44" i="3"/>
  <c r="F43" i="3" s="1"/>
  <c r="E36" i="2"/>
  <c r="E48" i="2" s="1"/>
  <c r="F36" i="2"/>
  <c r="F127" i="3"/>
  <c r="H83" i="3"/>
  <c r="F120" i="3"/>
  <c r="H64" i="3"/>
  <c r="F14" i="3"/>
  <c r="E83" i="3"/>
  <c r="F76" i="3"/>
  <c r="F70" i="3" s="1"/>
  <c r="F105" i="3"/>
  <c r="G119" i="3"/>
  <c r="G43" i="3"/>
  <c r="F95" i="3"/>
  <c r="G83" i="3"/>
  <c r="F114" i="3"/>
  <c r="F83" i="3"/>
  <c r="G13" i="3"/>
  <c r="F62" i="3"/>
  <c r="F57" i="3" s="1"/>
  <c r="F65" i="3"/>
  <c r="F64" i="3" s="1"/>
  <c r="E37" i="3"/>
  <c r="H13" i="3"/>
  <c r="F31" i="3"/>
  <c r="F22" i="3"/>
  <c r="H43" i="3"/>
  <c r="H130" i="3" s="1"/>
  <c r="G37" i="3"/>
  <c r="G64" i="3"/>
  <c r="G95" i="3"/>
  <c r="F37" i="3"/>
  <c r="H37" i="3"/>
  <c r="H119" i="3"/>
  <c r="F16" i="3"/>
  <c r="K36" i="2"/>
  <c r="I40" i="2"/>
  <c r="H36" i="2"/>
  <c r="I14" i="2"/>
  <c r="I7" i="2" s="1"/>
  <c r="I23" i="2"/>
  <c r="I22" i="2" s="1"/>
  <c r="I39" i="2"/>
  <c r="J36" i="2"/>
  <c r="J22" i="2"/>
  <c r="J14" i="2"/>
  <c r="J7" i="2" s="1"/>
  <c r="I36" i="2" l="1"/>
  <c r="F48" i="2"/>
  <c r="F54" i="2" s="1"/>
  <c r="H48" i="2"/>
  <c r="I48" i="2"/>
  <c r="G130" i="3"/>
  <c r="K48" i="2"/>
  <c r="J48" i="2"/>
  <c r="F119" i="3"/>
  <c r="E130" i="3"/>
  <c r="F101" i="3"/>
  <c r="F13" i="3"/>
  <c r="H52" i="2"/>
  <c r="O15" i="2"/>
  <c r="J50" i="2" l="1"/>
  <c r="F130" i="3"/>
</calcChain>
</file>

<file path=xl/sharedStrings.xml><?xml version="1.0" encoding="utf-8"?>
<sst xmlns="http://schemas.openxmlformats.org/spreadsheetml/2006/main" count="5883" uniqueCount="1251">
  <si>
    <t>Zestawienie wykonania planu dochodów i wydatków związanych ze szczególnymi zasadami wykonywania budżetu województwa wynikającymi z odrębnych ustaw</t>
  </si>
  <si>
    <t>Dział</t>
  </si>
  <si>
    <t>Rozdział</t>
  </si>
  <si>
    <t>Nazwa</t>
  </si>
  <si>
    <t>Paragraf</t>
  </si>
  <si>
    <t>Dochody</t>
  </si>
  <si>
    <t>Wydatki</t>
  </si>
  <si>
    <t>Ustawa</t>
  </si>
  <si>
    <t>Plan
po zmianach</t>
  </si>
  <si>
    <t xml:space="preserve">Wykonanie </t>
  </si>
  <si>
    <t>w tym wydatki:</t>
  </si>
  <si>
    <t>bieżące</t>
  </si>
  <si>
    <t>majątkowe</t>
  </si>
  <si>
    <t>010</t>
  </si>
  <si>
    <t xml:space="preserve">ROLNICTWO I ŁOWIECTWO </t>
  </si>
  <si>
    <t>Ustawa z dnia 3 lutego 1995r. 
o ochronie gruntów rolnych i leśnych 
(z późn. zm.)</t>
  </si>
  <si>
    <t>01042</t>
  </si>
  <si>
    <t>Wyłączenie z produkcji gruntów rolnych</t>
  </si>
  <si>
    <t>0690</t>
  </si>
  <si>
    <t>2310</t>
  </si>
  <si>
    <t>0910</t>
  </si>
  <si>
    <t>2320</t>
  </si>
  <si>
    <t>4210</t>
  </si>
  <si>
    <t>4300</t>
  </si>
  <si>
    <t>6060</t>
  </si>
  <si>
    <t>6610</t>
  </si>
  <si>
    <t>6620</t>
  </si>
  <si>
    <t>600</t>
  </si>
  <si>
    <t>TRANSPORT I ŁĄCZNOŚĆ</t>
  </si>
  <si>
    <t>60001</t>
  </si>
  <si>
    <t xml:space="preserve">Krajowe pasażerskie przewozy kolejowe </t>
  </si>
  <si>
    <t>Ustawa z dnia 16 grudnia 2005r. o Funduszu Kolejowym</t>
  </si>
  <si>
    <t>2440</t>
  </si>
  <si>
    <t>2830</t>
  </si>
  <si>
    <t>756</t>
  </si>
  <si>
    <t>DOCHODY OD OSÓB PRAWNYCH, OD OSÓB FIZYCZNYCH I OD INNYCH JEDNOSTEK NIEPOSIADAJĄCYCH OSOBOWOŚCI PRAWNEJ ORAZ WYDATKI ZWIĄZANE Z ICH POBOREM</t>
  </si>
  <si>
    <t>Ustawa z dnia 26 października 1982 r. 
o wychowaniu w trzeźwości 
i przeciwdziałaniu alkoholizmowi 
(z późn. zm.)</t>
  </si>
  <si>
    <t>75618</t>
  </si>
  <si>
    <t>Wpływy z innych opłat stanowiących dochody jednostek samorządu terytorialnego na podstawie ustaw</t>
  </si>
  <si>
    <t>0480</t>
  </si>
  <si>
    <t>851</t>
  </si>
  <si>
    <t>OCHRONA ZDROWIA</t>
  </si>
  <si>
    <t>85153</t>
  </si>
  <si>
    <t>Zwalczanie narkomanii</t>
  </si>
  <si>
    <t>2360</t>
  </si>
  <si>
    <t>85154</t>
  </si>
  <si>
    <t xml:space="preserve">Przeciwdziałanie alkoholizmowi </t>
  </si>
  <si>
    <t>4190</t>
  </si>
  <si>
    <t>852</t>
  </si>
  <si>
    <t>POMOC SPOŁECZNA</t>
  </si>
  <si>
    <t>85205</t>
  </si>
  <si>
    <t>Zadania w zakresie przeciwdziałania przemocy w rodzinie</t>
  </si>
  <si>
    <t>85232</t>
  </si>
  <si>
    <t>Centra integracji społecznej</t>
  </si>
  <si>
    <t>6230</t>
  </si>
  <si>
    <t>900</t>
  </si>
  <si>
    <t>GOSPODARKA KOMUNALNA I OCHRONA ŚRODOWISKA</t>
  </si>
  <si>
    <t>Ustawa z dnia 27 kwietnia 2001 r. Prawo ochrony środowiska 
(z późn. zm.)</t>
  </si>
  <si>
    <t>90019</t>
  </si>
  <si>
    <t>Wpływy i wydatki związane z gromadzeniem środków z opłat i kar za korzystanie ze środowiska</t>
  </si>
  <si>
    <t>0570</t>
  </si>
  <si>
    <t>4010</t>
  </si>
  <si>
    <t>4110</t>
  </si>
  <si>
    <t>4120</t>
  </si>
  <si>
    <t>4700</t>
  </si>
  <si>
    <t>90020</t>
  </si>
  <si>
    <t>Wpływy i wydatki związane z gromadzeniem środków z opłat produktowych</t>
  </si>
  <si>
    <t xml:space="preserve">Ustawa z dnia 11 maja 2001 r. o obowiązkach przedsiębiorców w zakresie gospodarowania niektórymi odpadami oraz 
o opłacie produktowej, ustawa z dnia 20 stycznia 2005 r. o recyklingu pojazdów wycofanych z eksploatacji, ustawa z dnia 13 czerwca 2013 r. o gospodarce opakowaniami i odpadami opakowaniowymi (z późn. zm.), ustawa z dnia 11 września 2015 r. o zużytym sprzęcie elektrycznym i elektronicznym </t>
  </si>
  <si>
    <t>0240</t>
  </si>
  <si>
    <t>0400</t>
  </si>
  <si>
    <t>0530</t>
  </si>
  <si>
    <t>0970</t>
  </si>
  <si>
    <t>90024</t>
  </si>
  <si>
    <t>Wpływy i wydatki związane z wprowadzeniem do obrotu baterii i akumulatorów</t>
  </si>
  <si>
    <t>90026</t>
  </si>
  <si>
    <t>Pozostałe zadania związane z gospodarką odpadami</t>
  </si>
  <si>
    <t xml:space="preserve">Ustawa z dnia 14 grudnia 2012 r.
 o odpadach (z późn. zm.) </t>
  </si>
  <si>
    <t>OGÓŁEM</t>
  </si>
  <si>
    <t>Zestawienie wykonania planu dochodów i wydatków związanych z realizacją zadań wykonywanych w drodze umów lub porozumień 
między jednostkami samorządu terytorialnego na dofinansowanie własnych zadań bieżących oraz zadań inwestycyjnych i zakupów inwestycyjnych</t>
  </si>
  <si>
    <t>Dochody - otrzymane dotacje</t>
  </si>
  <si>
    <t>Przeznaczenie</t>
  </si>
  <si>
    <t xml:space="preserve">TRANSPORT I ŁĄCZNOŚĆ </t>
  </si>
  <si>
    <t>Krajowe pasażerskie przewozy kolejowe</t>
  </si>
  <si>
    <t>2330</t>
  </si>
  <si>
    <t>60013</t>
  </si>
  <si>
    <t>Drogi publiczne wojewódzkie</t>
  </si>
  <si>
    <t>2710</t>
  </si>
  <si>
    <t>4270</t>
  </si>
  <si>
    <t>6300</t>
  </si>
  <si>
    <t>6050</t>
  </si>
  <si>
    <t>60078</t>
  </si>
  <si>
    <t>Usuwanie skutków klęsk żywiołowych</t>
  </si>
  <si>
    <t>750</t>
  </si>
  <si>
    <t>ADMINISTRACJA PUBLICZNA</t>
  </si>
  <si>
    <t>75095</t>
  </si>
  <si>
    <t>Pozostała działalność</t>
  </si>
  <si>
    <t>754</t>
  </si>
  <si>
    <t>BEZPIECZEŃSTWO PUBLICZNE I OCHRONA PRZECIWPOŻAROWA</t>
  </si>
  <si>
    <t>75421</t>
  </si>
  <si>
    <t>Zarządzanie kryzysowe</t>
  </si>
  <si>
    <t>2800</t>
  </si>
  <si>
    <t>855</t>
  </si>
  <si>
    <t>RODZINA</t>
  </si>
  <si>
    <t>85510</t>
  </si>
  <si>
    <t>Działalność placówek opiekuńczo-wychowawczych</t>
  </si>
  <si>
    <t>921</t>
  </si>
  <si>
    <t>KULTURA I OCHRONA DZIEDZICTWA NARODOWEGO</t>
  </si>
  <si>
    <t>92106</t>
  </si>
  <si>
    <t>Teatry</t>
  </si>
  <si>
    <t>Filharmonie, orkiestry, chóry i kapele</t>
  </si>
  <si>
    <t>92109</t>
  </si>
  <si>
    <t>Domy i ośrodki kultury, świetlice i kluby</t>
  </si>
  <si>
    <t>6220</t>
  </si>
  <si>
    <t>Biblioteki</t>
  </si>
  <si>
    <t>Dotacja celowa  otrzymana od Gminy Miasto Rzeszów z przeznaczeniem na współfinansowanie działalności bieżącej Wojewódzkiej i Miejskiej Biblioteki Publicznej w Rzeszowie.</t>
  </si>
  <si>
    <t xml:space="preserve"> OGÓŁEM</t>
  </si>
  <si>
    <t>Dotacje celowe dla gmin z przeznaczeniem na modernizację dróg dojazdowych do gruntów rolnych, odkrzaczanie gruntów rolnych oraz renowację zbiorników wodnych służących małej retencji.</t>
  </si>
  <si>
    <t>Dotacje celowe dla gmin z przeznaczeniem na budowę i modernizację dróg dojazdowych do gruntów rolnych oraz budowę i renowację zbiorników wodnych służących małej retencji.</t>
  </si>
  <si>
    <t>60003</t>
  </si>
  <si>
    <t>Krajowe pasażerskie przewozy pasażerowe</t>
  </si>
  <si>
    <t>60014</t>
  </si>
  <si>
    <t>Drogi publiczne powiatowe</t>
  </si>
  <si>
    <t>60015</t>
  </si>
  <si>
    <t>Drogi publiczne w miastach na prawach powiatu</t>
  </si>
  <si>
    <t xml:space="preserve">Dotacja celowa na pomoc finansową dla Gminy Miasto Tarnobrzeg na realizację zadania pn. „Budowa obwodnicy miasta Tarnobrzeg”. </t>
  </si>
  <si>
    <t>60016</t>
  </si>
  <si>
    <t>Drogi publiczne gminne</t>
  </si>
  <si>
    <t>60017</t>
  </si>
  <si>
    <t>Drogi wewnętrzne</t>
  </si>
  <si>
    <t>60095</t>
  </si>
  <si>
    <t>630</t>
  </si>
  <si>
    <t>TURYSTYKA</t>
  </si>
  <si>
    <t>63003</t>
  </si>
  <si>
    <t>63095</t>
  </si>
  <si>
    <t>700</t>
  </si>
  <si>
    <t>GOSPODARKA MIESZKANIOWA</t>
  </si>
  <si>
    <t>70005</t>
  </si>
  <si>
    <t>Gospodarka gruntami i nieruchomościami</t>
  </si>
  <si>
    <t>70095</t>
  </si>
  <si>
    <t>720</t>
  </si>
  <si>
    <t>INFORMATYKA</t>
  </si>
  <si>
    <t>72095</t>
  </si>
  <si>
    <t>75023</t>
  </si>
  <si>
    <t>Urzędy gmin</t>
  </si>
  <si>
    <t>75075</t>
  </si>
  <si>
    <t>75412</t>
  </si>
  <si>
    <t>Ochotnicze straże pożarne</t>
  </si>
  <si>
    <t>75495</t>
  </si>
  <si>
    <t>Dotacja celowa na pomoc finansową dla Gminy Laszki z przeznaczeniem na dofinansowanie zadania  pn. „Organizacja kursu i szkoleń w remizo-świetlicy w Tuchli w ramach koncepcji Uniwersytetu Samorządności”, realizowanego w ramach II etapu koncepcji „Uniwersytetu Samorządności” „Podkarpackiego Programu Odnowy Wsi na lata 2017-2020”.</t>
  </si>
  <si>
    <t>801</t>
  </si>
  <si>
    <t>OŚWIATA I WYCHOWANIE</t>
  </si>
  <si>
    <t>Szkoły podstawowe</t>
  </si>
  <si>
    <t>80195</t>
  </si>
  <si>
    <t>85214</t>
  </si>
  <si>
    <t>Zasiłki i pomoc w naturze oraz składki na ubezpieczenia emerytalne i rentowe</t>
  </si>
  <si>
    <t>85278</t>
  </si>
  <si>
    <t>Dotacje celowe na pomoc finansową dla jednostek samorządu na wypłatę zasiłków celowych lub specjalnych, mieszkańcom poszkodowanym w wyniku ulewnych deszczy, z tego dla:
1) Gminy Jasienica Rosielna - 35.000,-zł,
2) Gminy Łańcut - 35.000,-zł,
3) Miasta Jasło - 35.000,-zł,
4) Gminy Kołaczyce - 35.000,-zł,
5) Gminy Jasło - 55.000,-zł,
6) Miasta i Gminy Kańczuga - 45.000,-zł,
7) Gminy Markowa - 35.000,-zł,
8) Gminy Jawornik Polski - 35.000,-zł,
9) Gminy Chmielnik - 35.000,-zł,
10) Gminy Dubiecko - 35.000,-zł,
11) Gminy Wojaszówka - 5.000,-zł,
12) Gminy Bircza - 35.000,-zł.</t>
  </si>
  <si>
    <t>853</t>
  </si>
  <si>
    <t>POZOSTAŁE ZADANIA W ZAKRESIE POLITYKI SPOŁECZNEJ</t>
  </si>
  <si>
    <t>85395</t>
  </si>
  <si>
    <t>Dotacja celowa na pomoc finansową dla Gminy Sędziszów Małopolski z przeznaczeniem na dofinansowanie zadania pn. „Ropczycko-Sędziszowski Uniwersytet Samorządności” realizowanego w ramach II etapu koncepcji „Uniwersytetu Samorządności” „Podkarpackiego Programu Odnowy Wsi na lata 2017-2020”.</t>
  </si>
  <si>
    <t>854</t>
  </si>
  <si>
    <t>EDUKACYJNA OPIEKA WYCHOWAWCZA</t>
  </si>
  <si>
    <t>85420</t>
  </si>
  <si>
    <t>Młodzieżowe ośrodki wychowawcze</t>
  </si>
  <si>
    <t>90095</t>
  </si>
  <si>
    <t>92105</t>
  </si>
  <si>
    <t>926</t>
  </si>
  <si>
    <t>KULTURA FIZYCZNA</t>
  </si>
  <si>
    <t>Obiekty sportowe</t>
  </si>
  <si>
    <t>92604</t>
  </si>
  <si>
    <t>Instytucje kultury fizycznej</t>
  </si>
  <si>
    <t>Dotacja celowa na pomoc finansową dla Miasta i Gminy Kańczuga z przeznaczeniem na dofinansowanie zadania pn. „Rozwój infrastruktury rekreacyjno-turystyczno-wypoczynkowej przy zbiorniku wodnym w m. Łopuszka Mała poprzez zakup i montaż altan drewnianych, domku oraz sauny ogrodowej i drobnego wyposażenia” realizowanego w ramach „Podkarpackiego Programu Odnowy Wsi na lata 2017-2020”.</t>
  </si>
  <si>
    <t>92605</t>
  </si>
  <si>
    <t>Zadania w zakresie kultury fizycznej</t>
  </si>
  <si>
    <t>Dotacje celowe na pomoc finansową dla gmin na dofinansowanie zadań w ramach „Podkarpackiego Programu Odnowy Wsi na lata 2017-2020”, w tym dla:
1) Gminy Tyczyn na zadanie pn. „Budowa placu zabaw oraz strefy rekreacyjnej na nieruchomości gminnej w miejscowości Kielnarowa” - 10.000,-zł,
2) Gminy Grodzisko Dolne na zadanie pn.  „Aktywizacja i integracja społeczności lokalnej podczas wspólnych prac polegających na rozszerzeniu możliwości wykorzystania obiektów rekreacyjnych w Wólce Grodziskiej” -  9.846,-zł.</t>
  </si>
  <si>
    <t>92695</t>
  </si>
  <si>
    <t>WYDATKI OGÓŁEM</t>
  </si>
  <si>
    <t>6660</t>
  </si>
  <si>
    <t>0580</t>
  </si>
  <si>
    <t>0640</t>
  </si>
  <si>
    <t>60002</t>
  </si>
  <si>
    <t>Infrastruktura kolejowa</t>
  </si>
  <si>
    <t>85141</t>
  </si>
  <si>
    <t>Ratownictwo medyczne</t>
  </si>
  <si>
    <t>60004</t>
  </si>
  <si>
    <t>Lokalny transport zbiorowy</t>
  </si>
  <si>
    <t>Dotacje celowe na pomoc finansową dla:
1) Miasta Łańcut z przeznaczeniem na realizację zadania pn. "Budowa kanalizacji burzowej w ciągu ulicy Kwiatowej w Łańcucie" w kwocie 79.739,35 zł,
2) Gminy Dębica z przeznaczeniem na realizację zadania pn. „Przebudowa drogi gminnej dz. nr ewid.1025/1 polegająca na budowie chodnika w m. Zawada” w kwocie 50.000,00 zł.</t>
  </si>
  <si>
    <t>Dotacja celowa na pomoc finansową dla Gminy Komańcza z przeznaczeniem na realizację zadania pn. „Przebudowa drogi gminnej nr ewid. 550, 551/1, 552, 554 w Komańczy".</t>
  </si>
  <si>
    <t>710</t>
  </si>
  <si>
    <t>71035</t>
  </si>
  <si>
    <t>DZIAŁALNOŚĆ USŁUGOWA</t>
  </si>
  <si>
    <t>Cmentarze</t>
  </si>
  <si>
    <t>75011</t>
  </si>
  <si>
    <t>Urzędy wojewódzkie</t>
  </si>
  <si>
    <t>92118</t>
  </si>
  <si>
    <t>Muzea</t>
  </si>
  <si>
    <t>92116</t>
  </si>
  <si>
    <t>Dotacja celowa otrzymana z Gminy Miasto Rzeszów  dla  Wojewódzkiej i Miejskiej Bibliotece Publicznej w Rzeszowie z przeznaczeniem na:
1) zadanie pn. „Zakup i zdalny dostęp do nowości wydawniczych”  - 100.000,-zł,
3) zadanie pn. „Biblioteka inspiruje – propozycje działań kulturalnych dla mieszkańców Rzeszowa” - 50.000,-zł.</t>
  </si>
  <si>
    <r>
      <t xml:space="preserve">Pomoc finansowa udzielona przez jednostki samorządu terytorialnego z przeznaczeniem na:
1) remonty chodników przy drogach wojewódzkich w kwocie - 870.287,44 zł,
2) odnowy dróg wojewódzkich - 903.726,05 zł.
</t>
    </r>
    <r>
      <rPr>
        <i/>
        <sz val="11"/>
        <color theme="1"/>
        <rFont val="Arial"/>
        <family val="2"/>
        <charset val="238"/>
      </rPr>
      <t>Szczegółowy podział pomocy finansowej przedstawiono w objaśnieniach do wykonania wydatków rozdziału 60013.</t>
    </r>
  </si>
  <si>
    <t>Pomoc finansowa udzielona przez Gminę  Miasto Rzeszów dla Filharmonii Podkarpackiej im. Artura Malawskiego w Rzeszowie  z przeznaczeniem na organizację imprezy pn. „Muzyczny Festiwal w Łańcucie”.</t>
  </si>
  <si>
    <t>2910</t>
  </si>
  <si>
    <t xml:space="preserve">
</t>
  </si>
  <si>
    <t>Ustawa z dnia 24 kwietnia 2009 r. 
o bateriach i akumulatorach 
(z późn. zm.)</t>
  </si>
  <si>
    <t xml:space="preserve">Dotacje celowe dla powiatów z przeznaczeniem na zakup sprzętu informatycznego wraz z oprogramowaniem niezbędnym do prowadzenia spraw ochrony gruntów rolnych. </t>
  </si>
  <si>
    <t>Dotacja celowa dla Miasta Rzeszów z przeznaczeniem na zakup sprzętu informatycznego wraz z oprogramowaniem.</t>
  </si>
  <si>
    <t>Dotacja celowa dla Województwa Świętokrzyskiego na realizację zadania 
w zakresie utrzymania i rozwoju Portalu w ramach projektu „Trasy Rowerowe w Polsce Wschodniej – promocja” – utrzymanie portalu internetowego.</t>
  </si>
  <si>
    <t>i zabezpieczających na terenie starego cmentarza” w kwocie 12.000,00 zł.</t>
  </si>
  <si>
    <t>f) Gminy Nowa Dęba na zadanie  pn. „Modernizacji kuchni znajdującej się w budynku Domu Ludowego” w kwocie 11.760,00 zł,
g) Gminy Raniżów na zadanie pn.  „Wykonanie placu zabaw przy Gminnej Bibliotece Publicznej w Raniżowie” w kwocie 12.000,-zł.</t>
  </si>
  <si>
    <t>c.d.</t>
  </si>
  <si>
    <t>Dotacja celowa na pomoc finansową dla Powiatu Lubaczowskiego na realizację zadania „Dostosowanie pomieszczeń Młodzieżowego Ośrodka Wychowawczego wchodzącego w skład Zespołu Placówek im. Jana Pawła II w Lubaczowie do wymogów standaryzacji"</t>
  </si>
  <si>
    <t>13) Gminy Mielec na wypłatę zasiłków celowych dla poszkodowanych hodowców trzody chlewnej w wyniku zdarzenia losowego, tj. Afrykańskiego Pomoru Świń (ASF) - 7.265,00 zł,
14) Gminy Wadowice Górne na wypłatę zasiłków celowych dla poszkodowanych hodowców trzody chlewnej w wyniku zdarzenia losowego, tj. Afrykańskiego Pomoru Świń (ASF) - 138.492,48 zł,
15) Gminy Przecław na wypłatę zasiłków celowych dla poszkodowanych hodowców trzody chlewnej w wyniku zdarzenia losowego, tj. Afrykańskiego Pomoru Świń (ASF) - 5.262,00 zł.</t>
  </si>
  <si>
    <t>Ustawa z dnia 2 marca 2020 r. o szczególnych rozwiązaniach związanych z zapobieganiem, przeciwdziałaniem i zwalczaniem COVID-19, innych chorób zakaźnych oraz wywołanych nimi sytuacji kryzysowych (z późn. zm.)</t>
  </si>
  <si>
    <t>6100</t>
  </si>
  <si>
    <t xml:space="preserve">Usuwanie skutków klęsk żywiołowych </t>
  </si>
  <si>
    <t>Dotacja celowa dla Gminy Przeworsk - instytucji tworzącej Centrum Integracji Społecznej z siedzibą w Chałupkach na dofinansowanie zakupu pierwszego wyposażenia niezbędnego do rozpoczęcia działalności.</t>
  </si>
  <si>
    <t>2480</t>
  </si>
  <si>
    <t>Dotacje celowe otrzymane z powiatów z przeznaczeniem na prowadzenie regionalnych placówek opiekuńczo - terapeutycznych na terenie województwa podkarpackiego, w tym z:
a) Powiatu Inowrocławskiego – 233.980,44 zł,
b) Powiatu Kluczborskiego – 83.756,40 zł,
c) Powiatu Leżajskiego – 167.512,80 zł,
d) Powiatu Łańcuckiego – 39.910,41 zł,
e) Powiatu Niżańskiego – 83.756,40 zł,
f) Powiatu Pilskiego – 251.269,20 zł,
g) Powiatu Pruszkowskiego – 167.512,80 zł,
h) Powiatu Rzeszowskiego – 418.552,11 zł,
i) Powiatu Drawskiego – 75.112,02 zł,
j) Powiatu Gliwickiego – 240.469,04 zł,
k) Powiatu Grodziskiego – 225.336,06 zł,
l) Powiatu Hrubieszowskiego – 75.112,02 zł,
ł) Powiatu Jarosławskiego – 150.224,04 zł,
m) Powiatu Nowosolskiego – 75.112,02 zł,
n) Powiatu Polkowickiego – 75.112,02 zł,
o) Powiatu Zielonogórskiego – 75.009,44 zł,
p) Powiatu Chodzieskiego – 75.112,02 zł,
q) Gminy Siemianowice Śląskie – 225.336,06 zł,
r) Miasta Bydgoszcz – 83.756,40 zł,
s) Miasta Łódź – 165.443,55 zł,
t) Powiatu Radzyńskiego – 22.095,21 zł,
u) Miasta Lublin – 136.445,69 zł, 
v) Miasta Tychy – 35.528,51 zł.</t>
  </si>
  <si>
    <t>Pomoc finansowa udzielona przez jednostki samorządu terytorialnego z przeznaczeniem na realizację zadania pn.:
"Rekompensata należna przewoźnikowi z tytułu wykonywania kolejowych przewozów osób - w ramach użyteczności publicznej PKA".</t>
  </si>
  <si>
    <t>Pomoc finansowa udzielona przez jednostki samorządu terytorialnego z przeznaczeniem na realizację zadania pn.:
"Opracowanie wstępnego studium planistyczno - prognostycznego dla linii kolejowej nr 166 Dębica - Jasło".</t>
  </si>
  <si>
    <t>Pomoc finansowa udzielona przez Miasto Rzeszów z przeznaczeniem na realizację zadania pn.:
 "Budowa Podmiejskiej Kolei Aglomeracyjnej - PKA": budowa zaplecza technicznego" w ramach Programu Operacyjnego Infrastruktura i Środowisko na lata 2014-2020.</t>
  </si>
  <si>
    <t>Pomoc finansowa udzielona przez Gminę Miasto Rzeszów  z przeznaczeniem na dofinansowane zakupu ambulansu sanitarnego z wyposażeniem dla potrzeb Wojewódzkiej Stacji Pogotowia Ratunkowego w Rzeszowie.</t>
  </si>
  <si>
    <t xml:space="preserve">Dotacja celowa otrzymana z Gminy Miasto Rzeszów dla  Wojewódzkiej i Miejskiej Bibliotece Publicznej w Rzeszowie z przeznaczeniem na zakup sprzętu i wyposażenia filii nr 18 WiMBP. </t>
  </si>
  <si>
    <t>Dotacja celowa na pomoc finansową dla  Powiatu Sanockiego z przeznaczeniem na realizację wakacyjnych połączeń kolejowych w relacji Łupków - Sanok w ramach zadania pn. "Lokalny Transport Zbiorowy".</t>
  </si>
  <si>
    <t>Dotacja celowa na pomoc finansową dla Powiatu Bieszczadzkiego z przeznaczeniem na realizację zadania pn. „Remont odcinka drogi powiatowej Nr 2291R Trójca - Arłamów".</t>
  </si>
  <si>
    <r>
      <t>1)</t>
    </r>
    <r>
      <rPr>
        <sz val="11"/>
        <color theme="1"/>
        <rFont val="Times New Roman"/>
        <family val="1"/>
        <charset val="238"/>
      </rPr>
      <t xml:space="preserve">  </t>
    </r>
    <r>
      <rPr>
        <sz val="11"/>
        <color theme="1"/>
        <rFont val="Arial"/>
        <family val="2"/>
        <charset val="238"/>
      </rPr>
      <t>Gminy Świlcza na zadanie pn. „Digitalizacja i udostępnianie cyfrowych dóbr kultury świlczańskiego cmentarza dla przyszłych pokoleń” w kwocie 12.000,00 zł,</t>
    </r>
  </si>
  <si>
    <r>
      <t>2)</t>
    </r>
    <r>
      <rPr>
        <sz val="11"/>
        <color theme="1"/>
        <rFont val="Times New Roman"/>
        <family val="1"/>
        <charset val="238"/>
      </rPr>
      <t xml:space="preserve">  </t>
    </r>
    <r>
      <rPr>
        <sz val="11"/>
        <color theme="1"/>
        <rFont val="Arial"/>
        <family val="2"/>
        <charset val="238"/>
      </rPr>
      <t>Gminy Pruchnik na zadanie pn. „Wykonanie prac remontowych</t>
    </r>
  </si>
  <si>
    <t>Pomoce finansowe dla gmin w ramach „Podkarpackiego Programu Odnowy Wsi na lata 2021-2025”, w tym dla:
1)	 Gminy Zagórz na zadanie pn. „Budowa ogólnodostępnego placu zabaw” w kwocie 12.000,00 zł,
2) 	Gminy Jeżowe na zadanie pn. „Integracja i aktywizacja społeczności wiejskiej poprzez utworzenie placu zabaw w Cholewianej Górze” w kwocie 10.608,00 zł,
3) 	Gminy Ustrzyki Dolne na zadanie pn. „Budowa ogrodzenia rekreacyjnej działki gminnej, doposażenie placu zabaw” w kwocie 12.000,00 zł,
4) 	Gminy Pysznica na zadanie pn. „Doposażenie placu zabaw przy świetlicy wiejskiej w Sudołach” w kwocie 12.000,00 zł.</t>
  </si>
  <si>
    <t>Dotacja celowa na pomoc finansową dla Gminy Narol na zadanie pn. „Podniesienie atrakcyjności miejsca spotkań środowiskowych poprzez budowę wiaty grillowej” realizowane w ramach „Podkarpackiego Programu Odnowy Wsi na lata 2021-2025”.</t>
  </si>
  <si>
    <t>Dotacje celowe na pomoc finansową dla gmin w ramach „Podkarpackiego Programu Odnowy Wsi na lata 2021-2025”, w tym dla:
1) 	Gminy Orły na zadanie pn. „Modernizacja fontanny w centrum wsi Orły” w kwocie 12.000,00 zł,
2) 	Gminy Leżajsk na zadanie pn. „Budowa siłowni plenerowej wraz 
z zagospodarowaniem otoczenia (ławeczki, pergole, nasadzenia) na działce Zespołu Szkół w Dębnie” w kwocie 12.000,00 zł,
3) 	Gminy Sanok na zadanie pn. „Budowa ogólnodostępnej EKO ALTANY wyposażonej w elementy małej architektury oraz przyjazne przyrodzie zagospodarowanie przestrzeni” w kwocie 12.000,00 zł,
4) 	Gminy Roźwienica na zadanie pn. „Wykonanie przebudowy pomieszczeń budynku WDK Bystrowice w celu urządzenia kuchni” w kwocie 12.000,00 zł,
5) 	Gminy Brzostek na zadanie pn. „Budowa obiektów małej architektury na działanie nr ewid.37/1 w miejscowości Klecie poprzez wykonanie elementów placu zabaw, ustawienie ławek oraz ogrodzenie placu” w kwocie 12.000,00 zł,
6) 	Gminy Pawłosiów na zadanie pn. „Zagospodarowanie kompleksu sportowo-rekreacyjnego w Tywoni poprzez montaż małej architektury oraz utwardzenie terenu” w kwocie 12.000,00 zł,
7) 	Gminy Gorzyce na zadanie pn. „Budowa wiaty rowerowej wraz z zagospodarowaniem terenu przy Urzędzie Gminy Gorzyce” w kwocie 12.000,00 zł,
8) 	Gminy Rokietnica na zadanie pn. „Aktywnie i zdrowo” – Zagospodarowanie przestrzeni wokół stawu w Centrum Gminy Rokietnica wraz z utworzeniem mola na stawie” w kwocie 11.999,00 zł,
9) 	Gminy Zarzecze na zadanie pn. „Montaż drzwi oraz budowa schodów terenowych świetlicy wiejskiej w Zalesiu” w kwocie 12.000,00 zł.</t>
  </si>
  <si>
    <t>Dotacje celowe na pomoc finansową dla gmin w ramach „Podkarpackiego Programu Odnowy Wsi na lata 2021-2025”, w tym dla: 
1) 	Gminy Tryńcza na zadanie pn. „Utworzenie strefy plenerowej Street Workout 
z elementami placu zabaw” w kwocie 11.521,00 zł,
2) 	Gminy Trzebownisko na zadanie pn. „Zakup wyposażenia do Domu Ludowego w miejscowości Jasionka „Gęsiówka” na potrzeby edukacyjne koncepcji „Uniwersytet Samorządności” w kwocie 15.000,00 zł.</t>
  </si>
  <si>
    <t>Dotacje celowe na pomoc finansową dla gmin w ramach „Podkarpackiego Programu Odnowy Wsi na lata 2021-2025”, w tym dla:
1) 	Gminy Kolbuszowa na zadanie pn. „Modernizacja Domu Ludowego w Weryni” – 12.000,00 zł,
2) 	Gminy Dydnia na zadanie pn. „Doposażenie sali tanecznej wraz z klimatyzacją w Domu Ludowym w Krzywem” w kwocie 11.316,00 zł,
3) 	Gminy Dzikowiec na zadanie pn. „Urządzenie terenu rekreacyjnego w Wilczej Woli” – 12.000,00 zł.</t>
  </si>
  <si>
    <t xml:space="preserve">Dotacje celowe na pomoc finansową dla gmin w ramach „Podkarpackiego Programu Odnowy Wsi na lata 2021-2025”, w tym dla: 
1) Gminy Świlcza na zadanie pn. „Digitalizacja i udostępnianie cyfrowych dóbr kultury świlczańskiego cmentarza dla przyszłych pokoleń” w kwocie 12.000,00 zł,
2) 	Gminy Pruchnik na zadanie pn. „Wykonanie prac remontowych 
i zabezpieczających na terenie starego cmentarza” w kwocie 12.000,00 zł.
</t>
  </si>
  <si>
    <t>Dotacja celowa na pomoc finansową dla Gminy Dydnia na zadanie pn. „Remont wraz z wyposażeniem Sali w budynku Urzędu Gminy w Dydni w celu realizacji inicjatywy "Uniwersytet Samorządności” realizowane w ramach „Podkarpackiego Programu Odnowy Wsi na lata 2021-2025”.</t>
  </si>
  <si>
    <t>Dotacje celowe na pomoc finansową dla gmin w ramach „Podkarpackiego Programu Odnowy Wsi na lata 2021-2025”, w tym dla:
1) Gminy Bukowsko na zadanie pn. „Remont oraz wyposażenie świetlicy oraz siłowni w remizie OSP Nowotaniec w celu wzbogacenia oferty spędzania wolnego czasu” w kwocie 12.000,00 zł,
2) Gminy Hyżne na zadanie pn. „Remont Sali widowiskowej oraz kuchni w Domu Strażaka w Dylągówce” w kwocie 10.000,00 zł,
3)	 Gminy Ropczyce na zadanie pn. „Zakup wyposażenia świetlicy wiejskiej 
w budynku Remizy OSP oraz strojów dla LZS w Małej” w kwocie 12.000,00 zł.</t>
  </si>
  <si>
    <t>Dotacje celowe na pomoc finansową dla gmin w ramach „Podkarpackiego Programu Odnowy Wsi na lata 2021-2025”, w tym dla:
1) 	Gminy Krzeszów na zadania pn. „Budowa altanki przy świetlicy wiejskiej 
w Łazowie wraz z zagospodarowaniem przestrzeni zielonej” w kwocie 12.000,00 zł,
2) 	Gminy Jaśliska na zadanie pn. „Modernizacja budynku OSP Posada Jaśliska 
w celu stworzenia świetlicy wiejskiej” w kwocie 12.000,00 zł,
3) 	Gminy Brzozów na zadanie pn. „Asfaltowanie placu przy Domu Strażaka 
w Zmiennicy” w kwocie 12.000,00 zł,
4) 	Gminy Nozdrzec na zadanie pn. „Budowa miejsca rekreacji – altany z ławkami przy Domu Strażaka w Wesołej oraz naprawa kominów na budynku Domu Strażaka” w kwocie 12.000,00 zł,
5) 	Gminy Niwiska na zadanie pn. „Modernizacja zaplecza kuchennego świetlicy wiejskiej w Hucisku – I etap” w kwocie 12.000,00 zł.</t>
  </si>
  <si>
    <t>Dotacje celowe na pomoc finansową dla gmin w ramach „Podkarpackiego Programu Odnowy Wsi na lata 2021-2025”, w tym dla:
1) Gminy Wiśniowa na zadanie pn. "Zagospodarowanie przestrzeni publicznych: sportowo-rekreacyjnych i wypoczynkowych w Markuszowej poprzez budowę skate parku przy Szkole Podstawowej oraz rozbudowę mini parku przy Domu Kultury wraz z zakupem niezbędnego wyposażenia na potrzeby Domu Kultury" w kwocie 12.000,00 zł,
2) Gminy Jedlicze na zadanie pn. "Modernizacja boiska sportowego przy Szkole Podstawowej w Piotrówce" w kwocie 12.000,00 zł.</t>
  </si>
  <si>
    <t>Dotacje celowe na pomoc finansową dla gmin w ramach „Podkarpackiego Programu Odnowy Wsi na lata 2021-2025”, w tym dla:
1) Gminy Osiek Jasielski na zadanie pn. "Zaadoptowanie terenu przy Szkole Podstawowej w Pielgrzymce na plac zabaw dla dzieci oraz wyposażenie go w elementy zabawowe" w kwocie 11.743,00 zł,
2) Gminy Besko na zadanie pn. "Ułożenie nawierzchni placu zabaw remizy strażackiej w Besku" w kwocie 12.000,00 zł,
3) Gminy Pilzno na zadanie pn. "Zwiększenie atrakcyjności miejsc rekreacji poprzez doposażenie placu zabaw i urządzenie w jego obrębie siłowni na świeżym powietrzu w miejscowości Bielowy" w kwocie 10.000,00 zł.</t>
  </si>
  <si>
    <t>Dotacje celowe na pomoc finansową na zadania z zakresu pomocy społecznej w tym dla:
1) Gminy Błażowa na wypłatę zasiłku celowego rodzinie poszkodowanej w wyniku pożaru, który miał miejsce w dniu 26 listopada 2020 r. - 50.000,00 zł,
2) Gminy i Miasta Ulanów na wypłatę zasiłku celowego rodzinie poszkodowanej w wyniku pożaru, który miał miejsce w dniu 26 stycznia 2021 r. - 50.000,00 zł,
3) Gminy Krzywcza na wypłatę zasiłku celowego rodzinie poszkodowanej w wyniku pożaru, który miał miejsce w dniu 29 października 2020 r. - 50.000,00 zł,
4) Gminy Dynów na wypłatę zasiłku celowego rodzinie poszkodowanej w wyniku pożaru, który miał miejsce w dniu 15 kwietnia 2021 r. - 30.000,00 zł,
5) Gminy Jarocin na wypłatę zasiłku celowego rodzinie poszkodowanej w wyniku pożaru, który miał miejsce w dniu 19 grudnia 2020 r. - 20.000,00 zł,
6) Gminy Nowy Targ na wypłatę zasiłków celowych dla osób poszkodowanych w wyniku pożaru, który miał miejsce w dniu 19 czerwca 2021 r. - 250.000,00 zł, 
7) Gminy Radymno na wypłatę zasiłku celowego rodzinie poszkodowanej w wyniku pożaru, który miał miejsce w dniu 26 marca 2021 r. - 20.000,00 zł, 
8) Miasta Radymno na wypłatę zasiłków celowych dla osób poszkodowanych w wyniku pożaru, który miał miejsce w dniu 4 czerwca 2021 r. - 15.000,00 zł, 
9) Gminy Dydnia na wypłatę zasiłku celowego rodzinie poszkodowanej w wyniku pożaru, który miał miejsce w dniu 21 maja 2021 r. - 15.000,00 zł,
10) Gminy Błażowa na wypłatę zasiłku celowego osobie poszkodowanej w wyniku pożaru, który miał miejsce w dniu 11 września 2021 r. - 4.000,00 zł,
11) Gminy Stary Dzików na wypłatę zasiłków celowych osobom poszkodowanym w wyniku nawałnicy, która miała miejsce w dniu 19 czerwca 2021 r. - 10.000,00 zł,
12) Gminy Czermin na wypłatę zasiłków celowych dla poszkodowanych hodowców trzody chlewnej w wyniku zdarzenia losowego, tj. Afrykańskiego Pomoru Świń (ASF) - 90.579,00 zł,</t>
  </si>
  <si>
    <t>Dotacja celowe na pomoc finansową dla Gminy Lubaczów na zadanie pn. „Utworzenie centrum rekreacyjno – wypoczynkowego przy zbiorniku wodnym w Opace – etap I” realizowane w ramach „Podkarpackiego Programu Odnowy Wsi na lata 2021-2025”.</t>
  </si>
  <si>
    <t>Dotacja celowa na pomoc finansową dla Gminy Wiśniowa na zadanie pn. „Dostosowanie pomieszczeń  Gminnej Biblioteki Publicznej w Wiśniowej do przeprowadzenia działań w ramach koncepcji "Uniwersytet Samorządności" w ramach „Podkarpackiego Programu Odnowy Wsi na lata 2021-2025” w kwocie 15.000,00 zł.</t>
  </si>
  <si>
    <t>Dotacja celowe na pomoc finansową dla Powiatu Lubaczowskiego z przeznaczeniem na dofinansowanie bieżącej działalności statutowej Muzeum Kresów w Lubaczowie w zakresie gromadzenia, przechowywania i udostępniania zbiorów.</t>
  </si>
  <si>
    <t>Dotacja celowa na pomoc finansową dla Gminy Haczów na zadanie pn. „Wyposażenie boiska sportowego we Wzdowie” realizowane w ramach „Podkarpackiego Programu Odnowy Wsi na lata 2021-2025”.</t>
  </si>
  <si>
    <t>Dotacje celowe na pomoc finansową  dla gmin w ramach „Podkarpackiego Programu Odnowy Wsi na lata 2021-2025", w tym dla:
1) Gminy Cieszanów na zadanie pn. „Budowa boiska wielofunkcyjnego z założeniem łąki kwietnej” w kwocie 12.000,00 zł,
2) Gminy Gać na zadanie pn. "Modernizacja placu zabaw poprzez wykonanie nawierzchni, montaż nowych zabawek, montaż ławeczek, zagospodarowanie zieleni" w kwocie 12.000,00 zł,
3) Gminy Korczyna na zadanie pn. "Wykonanie oświetlenia przy nowo powstającym boisku o nawierzchni poliuteranowej w Komborni" w kwocie 12.000,00 zł,
4) Gminy Nowa Sarzyna na zadanie pn. "Zagospodarowanie parku rekreacyjno-sportowego w Woli Zarczyckiej (Budy)" w kwocie 11.725,00 zł,
5) Gminy Cmolas na zadanie pn. "Zakup trybuny na stadion sportowy w Ostrowach Tuszowskich" w kwocie 12.000,00 zł,
6) Gminy Medyka na zadanie pn. "Doposażenie placu zabaw dla dzieci na działce nr 521 w Medyce" w kwocie 12.000,00 zł.</t>
  </si>
  <si>
    <t>Dotacje celowe na pomoc finansową dla gmin w ramach „Podkarpackiego Programu Odnowy Wsi na lata 2021-2025", w tym dla:
1) Gminy Rakszawa na zadanie pn. "Zaspokojenie potrzeb rekreacyjnych społeczności Sołectwa Rakszawa Dolna, poprzez stworzenie strefy relaksu" w kwocie 12.000,00 zł,
2) Gminy Głogów Małopolski na zadanie pn. "Doposażenie kompleksu rekreacyjnego "Rajska Dolina" w Pogwizdowie Starym poprzez zakup mebli i sprzętu AGD" w kwocie 12.000,00 zł.</t>
  </si>
  <si>
    <t>Dotacje celowe na pomoc finansową dla gmin w ramach „Podkarpackiego Programu Odnowy Wsi na lata 2021-2025", w tym dla:
1) Gminy Kuryłówka na zadanie pn. "Zagospodarowanie terenu działki nr 3531/6 poprzez montaż urządzeń rekreacyjnych i budowę ogrodzenia" - etap I" w kwocie 12.000,00 zł,
2) Gminy Błażowa na zadnanie pn. "Budowa i urządzenie placu zabaw" w kwocie 12.000,00 zł,
3) Gminy Lubenia na zadanie pn. "Zagospodarowanie przestrzeni publicznej w Sołonce na cele społeczne poprzez budowę ogrodzenia, wymodelowanie i ukształtowanie skarpy, wykonanie nasadzeń, dostawę i montaż siedzisk oraz koszy" w kwocie 12.000,00 zł,
4) Gminy Strzyżów na zadanie pn. "Budowa eko-siłowni powietrzu przy Zespole Szkół w Wysokiej Strzyżowskiej" w kwocie 11.752,00 zł,
5) Miasta i Gminy Kańczuga na zadanie pn. "Modernizacja istniejącego placu zabaw w Lipniku" w kwocie 12.000,00 zł,
6) Gminy Radomyśl nad Sanem na zadanie pn. "Poprawa wizerunku sołectwa Wola Rzeczycka poprzez zagospodarowanie terenu boiska sportowego i montaż ławek" w kwocie 12.000,00 zł.</t>
  </si>
  <si>
    <t>Zestawienie wykonania planu dochodów i wydatków zadań z zakresu administracji rządowej wykonywanych 
przez samorząd województwa</t>
  </si>
  <si>
    <t xml:space="preserve">I. DOCHODY </t>
  </si>
  <si>
    <t>w złotych</t>
  </si>
  <si>
    <t>Plan wg uchwały budżetowej</t>
  </si>
  <si>
    <t>Plan po zmianach</t>
  </si>
  <si>
    <t>Wykonanie</t>
  </si>
  <si>
    <t>% wykonania 
(7:6)</t>
  </si>
  <si>
    <t>1.</t>
  </si>
  <si>
    <t>2.</t>
  </si>
  <si>
    <t>3.</t>
  </si>
  <si>
    <t>4.</t>
  </si>
  <si>
    <t>5.</t>
  </si>
  <si>
    <t>6.</t>
  </si>
  <si>
    <t>7.</t>
  </si>
  <si>
    <t>8.</t>
  </si>
  <si>
    <t>ROLNICTWO I ŁOWIECTWO</t>
  </si>
  <si>
    <t>01078</t>
  </si>
  <si>
    <t>6510</t>
  </si>
  <si>
    <t>6513</t>
  </si>
  <si>
    <t>01095</t>
  </si>
  <si>
    <t>2210</t>
  </si>
  <si>
    <t>Krajowe pasażerskie przewozy autobusowe</t>
  </si>
  <si>
    <t>71012</t>
  </si>
  <si>
    <t>Ośrodki dokumentacji geodezyjnej i kartograficznej</t>
  </si>
  <si>
    <t>71095</t>
  </si>
  <si>
    <t>75046</t>
  </si>
  <si>
    <t>Komisje egzaminacyjne</t>
  </si>
  <si>
    <t>75084</t>
  </si>
  <si>
    <t>Funkcjonowanie wojewódzkich rad dialogu społecznego</t>
  </si>
  <si>
    <t>752</t>
  </si>
  <si>
    <t>OBRONA NARODOWA</t>
  </si>
  <si>
    <t>75212</t>
  </si>
  <si>
    <t>Pozostałe wydatki obronne</t>
  </si>
  <si>
    <t>80153</t>
  </si>
  <si>
    <t>Zapewnienie uczniom prawa do bezpłatnego dostępu do podręczników, materiałów edukacyjnych lub materiałów ćwiczeniowych</t>
  </si>
  <si>
    <t>85156</t>
  </si>
  <si>
    <t>Składki na ubezpieczenie zdrowotne oraz świadczenia dla osób nieobjętych obowiązkiem ubezpieczenia zdrowotnego</t>
  </si>
  <si>
    <t>85157</t>
  </si>
  <si>
    <t>Staże i specjalizacje medyczne</t>
  </si>
  <si>
    <t>85195</t>
  </si>
  <si>
    <t>85332</t>
  </si>
  <si>
    <t>Wojewódzkie urzędy pracy</t>
  </si>
  <si>
    <t>85509</t>
  </si>
  <si>
    <t>Działalność ośrodków adopcyjnych</t>
  </si>
  <si>
    <t>DOCHODY OGÓŁEM</t>
  </si>
  <si>
    <r>
      <rPr>
        <b/>
        <sz val="10"/>
        <rFont val="Arial"/>
        <family val="2"/>
        <charset val="238"/>
      </rPr>
      <t xml:space="preserve">II. WYDATKI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</si>
  <si>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w złotych</t>
  </si>
  <si>
    <t xml:space="preserve">Plan wg uchwały budżetowej </t>
  </si>
  <si>
    <t>Wydatki 
bieżące</t>
  </si>
  <si>
    <t>z tego:</t>
  </si>
  <si>
    <t>Wydatki 
majątkowe</t>
  </si>
  <si>
    <t>% wykonania
(7:6)</t>
  </si>
  <si>
    <t>Wydatki jednostek budżetowych</t>
  </si>
  <si>
    <t>w tym:</t>
  </si>
  <si>
    <t>Dotacje na zadania bieżące</t>
  </si>
  <si>
    <t>Świadczenia na rzecz osób fizycznych</t>
  </si>
  <si>
    <t>wynagro-
dzenia i 
składki od nich naliczane</t>
  </si>
  <si>
    <t>wydatki związane z realizacją ich statutowych zadań</t>
  </si>
  <si>
    <t>9.</t>
  </si>
  <si>
    <t>10.</t>
  </si>
  <si>
    <t>11.</t>
  </si>
  <si>
    <t>12.</t>
  </si>
  <si>
    <t>13.</t>
  </si>
  <si>
    <t>14.</t>
  </si>
  <si>
    <t>15.</t>
  </si>
  <si>
    <t>01008</t>
  </si>
  <si>
    <t>Melioracje wodne</t>
  </si>
  <si>
    <t>razem</t>
  </si>
  <si>
    <t>3020</t>
  </si>
  <si>
    <t>4040</t>
  </si>
  <si>
    <t>4260</t>
  </si>
  <si>
    <t>4280</t>
  </si>
  <si>
    <t>4360</t>
  </si>
  <si>
    <t>4440</t>
  </si>
  <si>
    <t>4480</t>
  </si>
  <si>
    <t>4500</t>
  </si>
  <si>
    <t>4590</t>
  </si>
  <si>
    <t>2630</t>
  </si>
  <si>
    <t>4170</t>
  </si>
  <si>
    <t>3030</t>
  </si>
  <si>
    <t>4220</t>
  </si>
  <si>
    <t>4390</t>
  </si>
  <si>
    <t>4410</t>
  </si>
  <si>
    <t>4240</t>
  </si>
  <si>
    <t>4130</t>
  </si>
  <si>
    <t>4320</t>
  </si>
  <si>
    <t>4140</t>
  </si>
  <si>
    <t>4430</t>
  </si>
  <si>
    <t>4520</t>
  </si>
  <si>
    <t>4710</t>
  </si>
  <si>
    <t>Zestawienie wykonania planu dochodów gromadzonych na wyodrębnionym rachunku 
przez wojewódzkie oświatowe jednostki budżetowe, oraz wydatków nimi finansowanych</t>
  </si>
  <si>
    <t>Lp.</t>
  </si>
  <si>
    <t>Nazwa  jednostki</t>
  </si>
  <si>
    <t>Plan</t>
  </si>
  <si>
    <t xml:space="preserve">Zespół Szkół przy Klinicznym Szpitalu Wojewódzkim Nr 2 
w Rzeszowie                 </t>
  </si>
  <si>
    <t xml:space="preserve">Zespół  Szkół  Specjalnych  w  Rymanowie  Zdroju  </t>
  </si>
  <si>
    <t>Medyczno - Społeczne Centrum Kształcenia Zawodowego 
i Ustawicznego w  Przemyślu</t>
  </si>
  <si>
    <t>Medyczno - Społeczne Centrum Kształcenia Zawodowego 
i Ustawicznego w  Jaśle</t>
  </si>
  <si>
    <t>Medyczno - Społeczne Centrum Kształcenia Zawodowego 
i Ustawicznego  w  Sanoku</t>
  </si>
  <si>
    <t>Medyczno - Społeczne Centrum Kształcenia Zawodowego 
i Ustawicznego  w  Mielcu</t>
  </si>
  <si>
    <t>Medyczno - Społeczne Centrum Kształcenia Zawodowego 
i Ustawicznego w  Stalowej  Woli</t>
  </si>
  <si>
    <t>Medyczno - Społeczne Centrum Kształcenia Zawodowego 
i Ustawicznego  w  Rzeszowie</t>
  </si>
  <si>
    <t>Podkarpacki Zespół Placówek Wojewódzkich w Rzeszowie</t>
  </si>
  <si>
    <t>Pedagogiczna  Biblioteka  Wojewódzka  w 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</si>
  <si>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</si>
  <si>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</si>
  <si>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</si>
  <si>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RAZEM</t>
  </si>
  <si>
    <t>85111</t>
  </si>
  <si>
    <t>Szpitale ogólne</t>
  </si>
  <si>
    <t>Dotacja celowa otrzymana od Województwa Świętokrzyskiego z przeznaczeniem na realizację zadania pn.: "Świadczenie usług publicznych w zakresie publicznego transportu zbiorowego w transporcie kolejowym w okresie od 01.01.2021r. do 31.12.2025r.".</t>
  </si>
  <si>
    <r>
      <rPr>
        <sz val="11"/>
        <color theme="1"/>
        <rFont val="Arial"/>
        <family val="2"/>
        <charset val="238"/>
      </rPr>
      <t xml:space="preserve">Pomoc finansowa udzielona przez:
1) jednostki samorządu terytorialnego w kwocie 9.923.615,36 zł z przeznaczeniem na:
a) budowę chodników przy drogach wojewódzkich w kwocie 7.765.942,76 zł,
b) przebudowy dróg wojewódzkich w kwocie 2.157.672,60 zł. 
</t>
    </r>
    <r>
      <rPr>
        <i/>
        <sz val="11"/>
        <color theme="1"/>
        <rFont val="Arial"/>
        <family val="2"/>
        <charset val="238"/>
      </rPr>
      <t>Szczegółowy podział pomocy finansowej przedstawiono w objaśnieniach do wykonania wydatków rozdziału 60013.
2) pomoc finansowa udzielona przez  Miasto i Gminę Kańczuga w kwocie  425.888,07 zł i Gminą Pruchnik w kwocie 635.601,08 zł  z przeznaczeniem na realizację inwestycji pn. „Przebudowa/rozbudowa drogi wojewódzkiej Nr 881 na odcinku Kańczuga – Pruchnik” ,
3) pomoc finansowa udzielona przez Gminę Wadowice Górne w  kwocie 100.000,00 zł i Powiat Mielecki w kwocie 450.000,00 zł z przeznaczeniema realizację inwestycji pn. „Budowa nowego odcinka drogi wojewódzkiej Nr 984 od m. Piątkowiec przez m. Rzędzianowice do ul. Sienkiewicza w Mielcu wraz z budową mostu na rzece Wisłoka”,
4) pomoc finansowa udzielona przez Gminę Solina z przeznaczeniem na realizację inwestycji pn. „Przebudowa/rozbudowa DW Nr 895 na odcinku Solina - Myczków i DW Nr 894 na odcinku Hoczew - Polańczyk” w kwocie 100.000,-zł</t>
    </r>
    <r>
      <rPr>
        <i/>
        <sz val="11"/>
        <color rgb="FFFF0000"/>
        <rFont val="Arial"/>
        <family val="2"/>
        <charset val="238"/>
      </rPr>
      <t xml:space="preserve">,
</t>
    </r>
    <r>
      <rPr>
        <i/>
        <sz val="11"/>
        <color theme="1"/>
        <rFont val="Arial"/>
        <family val="2"/>
        <charset val="238"/>
      </rPr>
      <t>5) pomoc finansowa udzielona przez Gminę Krzeszów w kwocie  473.000,00 zł oraz Powiat Niżański w kwocie  429.945,63 zł z przeznaczeniem na realizację inwestycji pn. "Rozbudowa dr. woj. Nr 863 Kopki Krzeszów – Tarnogród – Cieszanów polegająca na rozbudowie skrzyżowania z dr. Powiatową Nr 1069R w km 3+656 w m. Krzeszów",
6) pomoc finansowa udzielona przez Miasto Jasło z przeznaczeniem na realizację inwestycji pn. „Budowa nowego odcinka drogi wojewódzkiej Nr 992 w miejscowości Jasło” w kwocie 1.826.862,00 zł.</t>
    </r>
  </si>
  <si>
    <t>Dotacja celowa otrzymana z Powiatu Rzeszowskiego dla  Wojewódzkiej i Miejskiej Bibliotece Publicznej w Rzeszowie z przeznaczeniem narealizację zadania pn. „Wykonywanie zadań powiatowej biblioteki publicznej dla Powiatu Rzeszowskiego”.</t>
  </si>
  <si>
    <t>Dotacja celowa na pomoc finansową dla Województwa Małopolskiego z przeznaczeniem na realizację zadania pn. "Dofinansowanie zadań związanych 
z organizacją regionalnych kolejowych przewozów pasażerskich w relacji Kraków – Jasło i Nowy Sącz – Jasło”.</t>
  </si>
  <si>
    <t>Pozostałe zadania w zakresie kultury</t>
  </si>
  <si>
    <t>Szkoły zawodowe</t>
  </si>
  <si>
    <t>Promocja jednostek samorządu terytorialnego</t>
  </si>
  <si>
    <t xml:space="preserve">Zestawienie wykonania dochodów województwa </t>
  </si>
  <si>
    <t>(według działów, rozdziałów, paragrafów klasyfikacji budżetowej oraz źródeł pochodzenia i rodzajów dochodów)</t>
  </si>
  <si>
    <t>Rozdz.</t>
  </si>
  <si>
    <t>Źródło pochodzenia</t>
  </si>
  <si>
    <t>% wykonania (7:6)</t>
  </si>
  <si>
    <t>01004</t>
  </si>
  <si>
    <t xml:space="preserve">Biura geodezji i terenów rolnych </t>
  </si>
  <si>
    <t>a) dochody bieżące, w tym:</t>
  </si>
  <si>
    <t xml:space="preserve">Dochody realizowane przez Podkarpackie Biuro Geodezji 
i Terenów Rolnych w Rzeszowie </t>
  </si>
  <si>
    <t>0750</t>
  </si>
  <si>
    <t>0830</t>
  </si>
  <si>
    <t>0940</t>
  </si>
  <si>
    <t>b) dochody majątkowe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</si>
  <si>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</si>
  <si>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</si>
  <si>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</si>
  <si>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</si>
  <si>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</si>
  <si>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</si>
  <si>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</si>
  <si>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Wpływy z tytułu opłat za wyłączenie z produkcji gruntów rolnych</t>
  </si>
  <si>
    <t>Odsetki z tytułu nieterminowej wpłaty opłat za wyłączenie z produkcji gruntów rolnych</t>
  </si>
  <si>
    <t>Odsetki od zwrotu części dotacji wykorzystanej niezgodnie z przeznaczeniem na modernizację dróg dojazdowych do gruntów rolnych</t>
  </si>
  <si>
    <t>0920</t>
  </si>
  <si>
    <t>Zwrot części dotacji wykorzystanej niezgodnie z przeznaczeniem na modernizację dróg dojazdowych do gruntów rolnych</t>
  </si>
  <si>
    <t>Zwrot cześci dotacji pobranej w nadmiernej wysokości na budowę i modernizację dróg dojazdowych do gruntów rolnych</t>
  </si>
  <si>
    <t>Zwrotu kosztów zaliczki dla komornika za prowadzone postępowanie egzekucyjne wobec płatnika za wyłączenie z produkcji gruntów rolnych</t>
  </si>
  <si>
    <t>0630</t>
  </si>
  <si>
    <t>Odsetki od zwrotu części niewykorzystanej dotacji na realizację zadania w ramach Programu "Podkarpacki Naturalny Wypas II"</t>
  </si>
  <si>
    <t>0900</t>
  </si>
  <si>
    <t>Zwrot wypłaconego na rzecz osoby fizycznej odszkodowania za szkody łowieckie wyrządzone w uprawach i płodach rolnych przez zwierzęta łowne na obszarach niewchodzących w skład obwodów łowieckich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</si>
  <si>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</si>
  <si>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</si>
  <si>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Zwrot części niewykorzystanej dotacji na realizację zadania w ramach Programu "Podkarpacki Naturalny Wypas II"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</si>
  <si>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</si>
  <si>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</si>
  <si>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</si>
  <si>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</si>
  <si>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</si>
  <si>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</si>
  <si>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</si>
  <si>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</si>
  <si>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</si>
  <si>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>Odsetki od nieterminowej wpłaty należności za użytkowanie górnicze z tytułu wydobywania wód leczniczych, wód termalnych, solanek z terenu województwa podkarpackiego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</si>
  <si>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</si>
  <si>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</si>
  <si>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</si>
  <si>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</si>
  <si>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</si>
  <si>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</si>
  <si>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Zwrot części dotacji wykorzystanych niezgodnie z przeznaczeniem, pobranych nienależnie lub w nadmiernej wysokości przez beneficjentów projektów realizowanych w ramach Programu Operacyjnego Kapitał Ludzki</t>
  </si>
  <si>
    <t xml:space="preserve">Zwrot części niewykorzystanych dotacji przez beneficjentów projektów realizowanych w ramach Regionalnego Programu Operacyjnego Województwa Podkarpackiego na lata 2014-2020 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</si>
  <si>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</si>
  <si>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>b) dochody majątkowe, w tym:</t>
  </si>
  <si>
    <t>Zwrot części dotacji wykorzystanych niezgodnie z przeznaczeniem, pobranych nienależnie lub w nadmiernej wysokości przez beneficjentów projektów realizowanych w ramach Regionalnego Programu Operacyjnego Województwa Podkarpackiego na lata 2014-2020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</si>
  <si>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</si>
  <si>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>15013</t>
  </si>
  <si>
    <t>Rozwój kadr nowoczesnej gospodarki i przedsiębiorczości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</si>
  <si>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</si>
  <si>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Wpływy ze zwrotów dotacji oraz płatności wykorzystanych niezgodnie z przeznaczeniem lub wykorzystanych z naruszeniem procedur, o których mowa w art. 184 ustawy, pobranych nienależnie lub w nadmiernej wysokości</t>
  </si>
  <si>
    <t>Wpływy ze zwrotów dotacji oraz płatności wykorzystanych niezgodnie z przeznaczeniem lub wykorzystanych z naruszeniem procedur, o których mowa w art. 184 ustawy, pobranych nienależnie lub w nadmiernej wysokości, dotyczące dochodów majątkowych</t>
  </si>
  <si>
    <t>Dzierżawa autobusów szynowych</t>
  </si>
  <si>
    <t>Zwrot podatku VAT od dostaw pojazdów szynowych</t>
  </si>
  <si>
    <t>Wpływ kary umownej za niedotrzymanie wskaźnika niezawodności (Wn) pojazdu szynowego</t>
  </si>
  <si>
    <t>Dotacje celowe otrzymane od samorządu województwa na zadania bieżące realizowane na podstawie porozumień (umów) między jednostkami samorządu terytorialnego</t>
  </si>
  <si>
    <t xml:space="preserve">Dotacje otrzymane z państwowych funduszy celowych na realizację zadań bieżących jednostek sektora finansów publicznych </t>
  </si>
  <si>
    <t>Dotacja celowa otrzymana z tytułu pomocy finansowej udzielanej między jednostkami samorządu terytorialnego na dofinansowanie własnych zadań bieżących</t>
  </si>
  <si>
    <t>Zwrot przez operatora kolejowego niewykorzystanej rekompensaty na realizacaję połączeń kolejowych w relacji Rzeszów - Sandomierz - Stalowa Wola</t>
  </si>
  <si>
    <t>2950</t>
  </si>
  <si>
    <t xml:space="preserve">Zwrot przez Województwo Małopolskie niewykorzystanej pomocy finansowej na dofinansowanie zadań związanych z organizacją kolejowych przewozów pasażerskich w relacji Kraków - Jasło i Nowy Sącz - Jasło </t>
  </si>
  <si>
    <t>Środki pochodzące z budżetu Unii Europejskiej na realizację zadania pn.: "Budowa Podmiejskiej Kolei Aglomeracyjnej - PKA": zakup taboru - w ramach Programu Operacyjnego Infrastruktura i Środowisko na lata 2014 - 2020</t>
  </si>
  <si>
    <t>Środki pochodzące z budżetu Unii Europejskiej na realizację zadania pn. "Budowa Podmiejskiej Kolei Aglomeracyjnej - PKA": Budowa i modernizacja linii kolejowych oraz infrastruktury przystankowej w ramach Programu Operacyjnego Infrastruktura i Środowisko na lata 2014 - 2020</t>
  </si>
  <si>
    <t>Środki pochodzące z budżetu Unii Europejskiej na realizację zadania pn. "Budowa Podmiejskiej Kolei Aglomeracyjnej - PKA": budowa zaplecza technicznego w ramach Programu Operacyjnego Infrastruktura i Środowisko na lata 2014 - 2020</t>
  </si>
  <si>
    <t>Dotacja celowa otrzymana z tytułu pomocy finansowej udzielanej między jednostkami samorządu terytorialnego na dofinansowanie własnych zadań inwestycyjnych i zakupów inwestycyjnych</t>
  </si>
  <si>
    <t>Odsetki od nienależnie pobranych przez przewoźników dopłat do krajowych autobusowych przewozów pasażerskich z tytułu stosowania w tych przewozach obowiązujących ulg ustawowych</t>
  </si>
  <si>
    <t>Zwrot przez przewoźników nienależnie pobranych dopłat do krajowych autobusowych przewozów pasażerskich z tytułu stosowania w tych przewozach obowiązujących ulg ustawowych</t>
  </si>
  <si>
    <t>Zwrot przez Gminę Baranów Sandomierski niewykorzystanej dotacji na sfinansowanie strat z tytułu utraconych przychodów w związku ze stosowaniem ustawowych uprawnień do ulgowych przejazdów w przewozach o charakterze użyteczności publicznej</t>
  </si>
  <si>
    <t xml:space="preserve">Opłaty za wydawanie zezwoleń na regularny przewóz osób </t>
  </si>
  <si>
    <t>0620</t>
  </si>
  <si>
    <t>Dochody realizowane przez Podkarpacki Zarząd Dróg Wojewódzkich w Rzeszowie</t>
  </si>
  <si>
    <t xml:space="preserve">Dotacje celowe otrzymane z budżetu państwa na realizację bieżących zadań własnych samorządu województwa </t>
  </si>
  <si>
    <t>2230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</si>
  <si>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</si>
  <si>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</si>
  <si>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</si>
  <si>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Dofinansowanie ze środków Rządowego Funduszu Inwestycji Lokalnych</t>
  </si>
  <si>
    <t>Środki pochodzące z budżetu Unii Europejskiej na realizację projektu  własnego pn. "Budowa nowego odcinka drogi wojewódzkiej Nr 992 w miejscowości Jasło" w ramach Programu Współpracy Transgranicznej Interreg V-A Polska - Słowacja na lata 2014 - 2020</t>
  </si>
  <si>
    <t>6208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</si>
  <si>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</si>
  <si>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Środki pochodzące z budżetu Unii Europejskiej na realizację projektu  własnego pn. "Rozbudowa drogi wojewódzkiej Nr 867 na odcinku Lubaczów do Basznia Górna" w ramach Programu Współpracy Transgranicznej Polska - Białoruś - Ukraina 2014 - 2020</t>
  </si>
  <si>
    <t xml:space="preserve">Środki pochodzące z budżetu Unii Europejskiej jako refundacja wydatków poniesionych ze środków własnych na realizację projektu własnego pn. „Rozbudowa drogi wojewódzkiej Nr 867 od km 37+142 do km 37+810 (ul. Wyszyńskiego w Lubaczowie)” w ramach Program Współpracy Transgranicznej Polska – Białoruś – Ukraina 2014 – 2020 </t>
  </si>
  <si>
    <t>Środki pochodzące z budżetu Unii Europejskiej na realizację projektu własnego pn. „Rozbudowa drogi wojewódzkiej Nr 867 od km 37+142 do km 37+810 (ul. Wyszyńskiego w Lubaczowie)” w ramach Program Współpracy Transgranicznej Polska – Białoruś – Ukraina 2014 – 2021</t>
  </si>
  <si>
    <t>Środki pochodzące z budżetu Unii Europejskiej jako refundacja wydatków poniesionych ze środków własnych  na realizację projektu własnego pn."Modernizacja drogi wojewódzkiej Nr 993 Gorlice - Nowy Żmigród - Dukla na odcinku Pielgrzymka - Nowy Żmigród" w ramach  Programu Współpracy Transgranicznej Interreg V-A Polska - Słowacja na lata 2014 - 2020</t>
  </si>
  <si>
    <t>Środki pochodzące z budżetu Unii Europejskiej jako refundacja wydatków poniesionych ze środków własnych na realizację projektu własnego pn. "Budowa nowego odcinka drogi wojewódzkiej Nr 992 w miejscowości Jasło" w ramach Programu Współpracy Transgranicznej Interreg V-A Polska - Słowacja na lata 2014 - 2020</t>
  </si>
  <si>
    <t>Środki pochodzące z budżetu Unii Europejskiej na realizację projektu własnego pn."Rozbudowa drogi wojewódzkiej nr 885 Przemyśl-Hermanowice-Granica Państwa"  w ramach Programu Współpracy Transgranicznej Polska - Białoruś - Ukraina 2014 - 2020</t>
  </si>
  <si>
    <t>Środki pochodzące z budżetu Unii Europejskiej na realizację projektu własnego pn. "Rozbudowa drogi wojewódzkiej Nr 867 na odcinku Lubaczów do Basznia Górna" w ramach Programu Współpracy Transgranicznej Polska - Białoruś - Ukraina 2014 - 2020</t>
  </si>
  <si>
    <t>Środki otrzymane do pozostałych jednostek zaliczanych do sektora finansów publicznych na finansowanie lub dofinansowanie kosztów realizacji inwestycji i zakupów inwestycyjnych jednostek zaliczanych do sektora finansów publicznych</t>
  </si>
  <si>
    <t>Środki pochodzące z budżetu Unii Europejskiej jako refundacja wydatków poniesionych ze środków własnych  na realizację projektu własnego pn. "Rozbudowa drogi wojewódzkiej Nr 867 na odcinku Lubaczów do Basznia Górna" w ramach Programu Współpracy Transgranicznej Polska - Białoruś - Ukraina 2014 - 2022</t>
  </si>
  <si>
    <t xml:space="preserve">Środki pozyskane z nadleśnictw na dofinansowanie własnych zadań inwestycyjnych Samorządu Województwa </t>
  </si>
  <si>
    <t>Środki z państwowych funduszy celowych na finansowanie lub dofinansowanie kosztów realizacji inwestycji i zakupów inwestycyjnych jednostek sektora finansów publicznych</t>
  </si>
  <si>
    <t>Dotacje celowe otrzymane z budżetu państwa na realizację inwestycji i zakupów inwestycyjnych własnych samorządu województwa</t>
  </si>
  <si>
    <t>Dochody z tytułu opłat za wpis do rejestru podmiotów prowadzących badania lekarskie z zakresu psychologii transportu, opłat za wpis do ewidencji uprawnionych psychologów oraz opłat za wpis do ewidencji egzaminatorów wynikających z ustawy o kierujących pojazdami</t>
  </si>
  <si>
    <t>Zadania w zakresie upowszechniania turystyki</t>
  </si>
  <si>
    <t>Odsetki od zwrotu części dotacji wykorzystanej niezgodnie z przeznaczeniem, pobranej nienależnie lub w nadmiernej wysokości na realizację zadania z zakresu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</si>
  <si>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</si>
  <si>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 xml:space="preserve">Odsetki od zwrotu niewykorzystanej dotacji na realizację zadania pn. "Promocja lokalnych produktów kulinarnych Ziemi Lubaczowskiej z uwzględnieniem Szlaku Kulinarnego Podkarpackie Smaki" </t>
  </si>
  <si>
    <t xml:space="preserve">Zwrot niewykorzystanej dotacji na utrzymanie i rozwoj portalu internetowego www.greenvelo.pl w ramach „Utrzymania projektu „Trasy Rowerowe Polski Wschodniej – promocja” </t>
  </si>
  <si>
    <t>Opłaty za trwały zarząd, użytkowanie i służebność</t>
  </si>
  <si>
    <t>0470</t>
  </si>
  <si>
    <t>Wpływy z opłat z tytułu użytkowania wieczystego nieruchomości</t>
  </si>
  <si>
    <t>0550</t>
  </si>
  <si>
    <t>Zwrot zaliczki przez Sąd Rejonowy w Lesku na opinię biegłego w związku ze zmianą treści służebności</t>
  </si>
  <si>
    <t xml:space="preserve">Dochody z najmu i dzierżawy składników majątkowych </t>
  </si>
  <si>
    <t>Wpływy z usług (media)</t>
  </si>
  <si>
    <t>Odsetki od nieterminowych wpłat za dzierżawę, wieczyste użytkowanie nieruchomości</t>
  </si>
  <si>
    <t xml:space="preserve">Zwrot podatku VAT </t>
  </si>
  <si>
    <t>Zatrzymanie wpłaty wadium związanego ze sprzedażą nieruchomości</t>
  </si>
  <si>
    <t>Wpływy z tytułu przekształcenia prawa użytkowania wieczystego w prawo własności</t>
  </si>
  <si>
    <t>0760</t>
  </si>
  <si>
    <t>Dochody ze sprzedaży mienia będącego w zasobie Województwa</t>
  </si>
  <si>
    <t>0770</t>
  </si>
  <si>
    <t>Wpływ odszkodowań od Gminy Miasta Rzeszów za przejęcie nieruchomości na potrzeby realizacji inwestycji drogowej</t>
  </si>
  <si>
    <t>0800</t>
  </si>
  <si>
    <t>Wpływ odszkodowania od Generalnej Dyrekcji Dróg Krajowych i Autostrad za przejęcie nieruchomości na potrzeby realizacji inwestycji drogowej</t>
  </si>
  <si>
    <t>Biura planowania przestrzennego</t>
  </si>
  <si>
    <t xml:space="preserve">Dochody realizowane przez Podkarpackie Biuro Planowania Przestrzennego w Rzeszowie 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</si>
  <si>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</si>
  <si>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</si>
  <si>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</si>
  <si>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</si>
  <si>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0909</t>
  </si>
  <si>
    <t>Zwrot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</si>
  <si>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2917</t>
  </si>
  <si>
    <t>Zwrot kosztów sądowych</t>
  </si>
  <si>
    <t>Wpływy z tytułu dzierżawy części infrastruktury telekomunikacyjnej wchodzącej w skład Regionalnej Sieci Szerokopasmowej Województwa Podkarpackiego</t>
  </si>
  <si>
    <t>Wpływy z tytułu integracji systemu informatycznego "Podkarpackiego Systemu Informacji Medycznej" jednostek medycznych z Regionalnym Centrum Informacji Medycznej - RCIM</t>
  </si>
  <si>
    <t>Odsetki od wpływów z tytułu integracji systemu informatycznego "Podkarpackiego Systemu Informacji Medycznej" jednostek medycznych z Regionalnym Centrum Informacji Medycznej - RCIM</t>
  </si>
  <si>
    <t>Odsetki od nieterminowej wpłaty opłat rocznych za zajęcie pasa drogowego i czynszu dzierżawnego stałego za udostepnienie sieci szerokopasmowej</t>
  </si>
  <si>
    <t>Zwrot podatku VAT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</si>
  <si>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</si>
  <si>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Wpływy z tytułu sprzedaży udziału</t>
  </si>
  <si>
    <t>0780</t>
  </si>
  <si>
    <t xml:space="preserve">SZKOLNICTWO WYŻSZE I NAUKA </t>
  </si>
  <si>
    <t>Pomoc materialna dla studentów i doktorantów</t>
  </si>
  <si>
    <t>Odsetki od zwrotu części stypendiów udzielonych w ramach programu pn."Stypendia Marszałka Województwa Podkarpackiego" w 2019 r.</t>
  </si>
  <si>
    <t xml:space="preserve">Zwrot części stypendiów udzielonych w ramach programu pn. „Stypendia Marszałka Województwa Podkarpackiego” w 2020 roku </t>
  </si>
  <si>
    <t>Rozliczenia środków ewidencjonowanych do 2018 r. w działach "730 - Nauka" i "803 - Szkolnictwo wyższe"</t>
  </si>
  <si>
    <t>Odsetki od zwrotów części stypendiów udzielonych w ramach projektu pn. "Podkarpacki fundusz stypendialny dla doktorantów" w ramach Programu Operacyjnego Kapitał Ludzki</t>
  </si>
  <si>
    <t>0929</t>
  </si>
  <si>
    <t>Zwrot części stypendiów udzielonych w ramach projektu pn. "Podkarpacki fundusz stypendialny dla doktorantów" w ramach Programu Operacyjnego Kapitał Ludzki</t>
  </si>
  <si>
    <t>0947</t>
  </si>
  <si>
    <t>0949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</si>
  <si>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</si>
  <si>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</si>
  <si>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</si>
  <si>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</si>
  <si>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Zwrot części niewykorzystanej dotacji na organizację wydarzeń popularyzujących naukę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</si>
  <si>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</si>
  <si>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</si>
  <si>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Dotacja celowa z Funduszu Pracy na obsługę staży podyplomowych lekarzy i lekarzy dentystów</t>
  </si>
  <si>
    <t>Środki pochodzące z budżetu Unii Europejskiej na realizację projektu pn. "Naftowe dziedzictwo działalności Ignacego Łukasiewicza" w ramach Programu Współpracy Transgranicznej Polska - Białoruś - Ukraina na lata 2014-2020</t>
  </si>
  <si>
    <t>2008</t>
  </si>
  <si>
    <t>Środki pochodzące z budżetu Unii Europejskiej jako refundacja wydatków poniesionych ze środków własnych na realizację projektu pn. "Szlak Maryjny (Światło ze Wschodu)" w ramach Programu Współpracy Transgranicznej INTERREG V-A Polska - Słowacja 2014-2020</t>
  </si>
  <si>
    <t>Środki pochodzące z budżetu Unii Europejskiej jako refundacja wydatków poniesionych ze środków własnych na realizację projektu pn. "Karpackie Morza. Działania na rzecz promocji dziedzictwa przyrodniczego Jeziora Solińskiego i Domaszy” w ramach Programu Współpracy Transgranicznej INTERREG V-A Polska - Słowacja 2014-2020</t>
  </si>
  <si>
    <t>Dotacja celowa z budżetu państwa jako refundacja wydatków poniesionych ze środków własnych na realizację projektu pn. "Karpackie Morza. Działania na rzecz promocji dziedzictwa przyrodniczego Jeziora Solińskiego i Domaszy” w ramach Programu Współpracy Transgranicznej INTERREG V-A Polska - Słowacja 2014-2020</t>
  </si>
  <si>
    <t>2059</t>
  </si>
  <si>
    <t>Zwrot części niewykorzystanej dotacji na dofinansowanie zadań związanych z funkcjonowaniem Domu Polski Wschodniej w Brukseli</t>
  </si>
  <si>
    <t>Pomoc zagraniczna</t>
  </si>
  <si>
    <t>Dotacja celowa otrzymana z budżetu państwa na zadania bieżące realizowane przez samorząd województwa na podstawie porozumień z organami administracji rządowej</t>
  </si>
  <si>
    <t>Dotacja celowa otrzymana z budżetu państwa na inwestycje i zakupy inwestycyjne realizowane przez samorząd województwa na podstawie porozumień z organami administracji rządowej</t>
  </si>
  <si>
    <t>Odsetki od zwrotu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</si>
  <si>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</si>
  <si>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</si>
  <si>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</si>
  <si>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</si>
  <si>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 xml:space="preserve">Środki pochodzące z budżetu Unii Europejskiej na realizację projektu pn. 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</si>
  <si>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 "Przygotowanie dokumentacji technicznej i projektowej niezbędnej do rozbudowy sieci turystycznych, tras rowerowych na terenie Bieszczadów i włączenie ich do szlaku rowerowego Green Velo" w ramach Programu Operacyjnego Pomoc Techniczna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</si>
  <si>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</si>
  <si>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</si>
  <si>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</si>
  <si>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turystycznych, tras rowerowych na terenie Bieszczadów i włączenie ich do szlaku rowerowego Green Velo" w ramach Programu Operacyjnego Pomoc Techniczna 2014-2020</t>
  </si>
  <si>
    <t xml:space="preserve">Dotacja celowa z budżetu państwa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</si>
  <si>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pn.: "Funkcjonowanie Oddziału Programu Współpracy Transgranicznej EIS Polska - Białoruś - Ukraina 2014-2020 w Rzeszowie"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</si>
  <si>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</si>
  <si>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</si>
  <si>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</si>
  <si>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otrzymane z tytułu pomocy finansowej udzielanej między jednostkami samorządu terytorialnego na dofinansowanie własnych zadań bieżących</t>
  </si>
  <si>
    <t>Zwrot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</si>
  <si>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'Środki pochodzące z budżetu Unii Europejskiej na realizację projektu pn."Przygotowanie dokumentacji technicznej i projektowej niezbędnej do rozbudowy sieci turystycznych, tras rowerowych na terenie Bieszczadów i włączenie ich do szlaku rowerowego Green Velo" w ramach Programu Operacyjnego Pomoc Techniczna 2014-2020</t>
  </si>
  <si>
    <t>'Dotacja celowa z budżetu państwa na realizację projektu pn. "Przygotowanie dokumentacji technicznej i projektowej niezbędnej do rozbudowy sieci turystycznych, tras rowerowych na terenie Bieszczadów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</si>
  <si>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</si>
  <si>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 xml:space="preserve">Zwrot części dotacji wykorzystanych niezgodnie z przeznaczeniem, pobranych nienależnie lub w nadmiernej wysokości przez beneficjentów Regionalnego Programu Operacyjnego Województwa Podkarpackiego na lata 2014-2020 </t>
  </si>
  <si>
    <t>Zwrot części niewykorzystanych dotacji przez beneficjentów Regionalnego Programu Operacyjnego Województwa Podkarpackiego na lata 2014-2020</t>
  </si>
  <si>
    <t>BEZPIECZEŃSTWO PUBLICZNE I OCHRONA PRZECIPOŻAROWA</t>
  </si>
  <si>
    <t>Dotacja celowa otrzymana z gminy na zadania bieżące realizowane na podstawie porozumień (umów) między jednostkami samorządu terytorialnego</t>
  </si>
  <si>
    <t>DOCHODY OD OSÓB PRAWNYCH, OD OSÓB FIZYCZNYCH I OD INNYCH JEDNOSTEK NIE POSIADAJĄCYCH OSOBOWOŚCI PRAWNEJ ORAZ WYDATKI ZWIĄZANE Z ICH POBOREM</t>
  </si>
  <si>
    <t>Opłaty eksploatacyjne za wydobywanie węglowodorów ze złóż zlokalizowanych na terenie województwa podkarpackiego</t>
  </si>
  <si>
    <t>0460</t>
  </si>
  <si>
    <t>Opłaty za zezwolenia na hurtową sprzedaż alkoholu</t>
  </si>
  <si>
    <t>Opłaty koncesyjne za poszukiwanie lub rozpoznawanie złóż węglowodorów oraz za wydobywanie węglowodorów ze złóż na terenie województwa podkarpackiego</t>
  </si>
  <si>
    <t>0590</t>
  </si>
  <si>
    <t xml:space="preserve">Odsetki od nieterminowej wpłaty z tytułu zmiany koncesji za poszukiwanie lub rozpoznawanie złóż węglowodorów oraz za wydobywanie węglowodorów ze złóż na terenie województwa podkarpackiego  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</si>
  <si>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</si>
  <si>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</si>
  <si>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</si>
  <si>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</si>
  <si>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</si>
  <si>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</si>
  <si>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</si>
  <si>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</si>
  <si>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</si>
  <si>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</si>
  <si>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Uzupełnienie subwencji ogólnej dla jednostek samorządu terytorialnego z tytułu środków na uzupełnienie dochodów województw</t>
  </si>
  <si>
    <t>Subwencje ogólne z budżetu państwa na dofinansowanie budowy, przebudowy, remontu, utrzymania, ochrony dróg wojewódzkich i zarządzania tymi drogami.</t>
  </si>
  <si>
    <t>Uzupełnienie subwencji ogólnej dla jednostek samorządu terytorialnego z tytułu środków na inwestycje na drogach publicznych,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</si>
  <si>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</si>
  <si>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</si>
  <si>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>Odsetki od środków na rachunkach bankowych oraz lokat terminowych</t>
  </si>
  <si>
    <t>Wpływy do rozliczenia</t>
  </si>
  <si>
    <t>a) dochody bieżące</t>
  </si>
  <si>
    <t>Środki "Rządowego Funduszu Inwestycji Lokalnych" z przeznczeniem na realizację zadań związanych z przeciwdziałaniem Covid-19.</t>
  </si>
  <si>
    <t>6290</t>
  </si>
  <si>
    <t>Rezerwa subwencji ogólnej dla województw</t>
  </si>
  <si>
    <t>Środki z rezerwy subwencji ogólnej z przeznaczeniem na dofinansowanie budowy, przebudowy, remontu, utrzymania, ochrony dróg wojewódzkich i zarządzania tymi drogami</t>
  </si>
  <si>
    <t>2770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</si>
  <si>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</si>
  <si>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</si>
  <si>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</si>
  <si>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</si>
  <si>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</si>
  <si>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</si>
  <si>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współfinansowanie projektów realizowanych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</si>
  <si>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</si>
  <si>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Dotacja celowa z budżetu państwa jako refundacja wydatków poniesionych ze środków własnych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</si>
  <si>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</si>
  <si>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</si>
  <si>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w ramach Regionalnego Programu Operacyjnego Województwa Podkarpackiego na lata 2014 - 2020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</si>
  <si>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</si>
  <si>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</si>
  <si>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</si>
  <si>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</si>
  <si>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</si>
  <si>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</si>
  <si>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Środki z Funduszu Przeciwdziałania COVID-19 na finansowanie lub dofinansowanie realizacji zadań związanych z przeciwdziałaniem COVID-19 na realizację zadań jednostek samorządu terytorialnego polegających na rozwijaniu szkolnej infrastruktury - "Laboratoria Przyszłości"</t>
  </si>
  <si>
    <t>2180</t>
  </si>
  <si>
    <t>Szkoły policealne</t>
  </si>
  <si>
    <t>Dotacja celowa otrzymana z budżetu państwa na realizację bieżących zadań własnych samorządu województwa</t>
  </si>
  <si>
    <t>Środki pochodzące z budżetu Unii Europejskiej na realizację projektu pn. „POPOJUTRZE 2.0 – KSZTAŁCENIE” w ramach Programu Operacyjnego Wiedza Edukacja Rozwój na lata 2014-2020</t>
  </si>
  <si>
    <t>2057</t>
  </si>
  <si>
    <t>Dotacja celowa z budżetu państwa na realizację projektu pn. „POPOJUTRZE 2.0 – KSZTAŁCENIE” w ramach Programu Operacyjnego Wiedza Edukacja Rozwój na lata 2014-2020</t>
  </si>
  <si>
    <t>Dokształcanie i doskonalenie nauczycieli</t>
  </si>
  <si>
    <t>Dotacja celowa z budżetu państwa na realizację projektu pn. "Zdrowy styl życia - myślimy globalnie działamy lokalnie" w ramach Programu Edukacja Mechanizmu Finansowego Europejskiego Obszaru Gospodarczego na lata 2014-2021</t>
  </si>
  <si>
    <t>2006</t>
  </si>
  <si>
    <t>Środki pochodzące z budżetu Unii Europejskiej na realizację projektu pn. "Zdrowy styl życia - myślimy globalnie działamy lokalnie" w ramach Programu Edukacja Mechanizmu Finansowego Europejskiego Obszaru Gospodarczego na lata 2014-2021</t>
  </si>
  <si>
    <t>Środki pochodzące z budżetu Unii Europejskiej na realizację projektu pn."Rozwijanie kompetencji kadry dydaktycznej w zakresie doradztwa edukacyjno - zawodowego (makroregion IV)" w ramach Programu Operacyjnego Wiedza Edukacja Rozwój na lata 2014 - 2020</t>
  </si>
  <si>
    <t>Środki pochodzące z budżetu Unii Europejskiej na realizację projektu pn."Podkarpacie Uczy Cyfrowo w ramach projektu Lekcja:Enter" w ramach Programu Operacyjnego Polska Cyfrowa na lata 2014-2020</t>
  </si>
  <si>
    <t>Środki pochodzące z budżetu Unii Europejskiej na realizację projektu pn. "Lekcja:Enter - Podkarpacie Uczy Cyfrowo (II)" w ramach Programu Operacyjnego Polska Cyfrowa na lata 2014-2020</t>
  </si>
  <si>
    <t>Środki pochodzące z budżetu Unii Europejskiej na realizację projektu pn. „Zdalny Nauczyciel = Zdalna Szkoła” w ramach Projektu Grantowego pn. „Wsparcie placówek doskonalenia nauczycieli i bibliotek pedagogicznych w realizacji zadań związanych z przygotowaniem i wsparciem nauczycieli w prowadzeniu kształcenia na odległość” w ramach Programu Operacyjnego Wiedza Edukacja Rozwój na lata 2014-2020</t>
  </si>
  <si>
    <t>Dotacja celowa z budżetu państwa na realizację projektu pn. "Rozwijanie kompetencji kadry dydaktycznej w zakresie doradztwa edukacyjno - zawodowego (makroregion IV)" w ramach Programu Operacyjnego Wiedza Edukacja Rozwój na lata 2014 - 2020</t>
  </si>
  <si>
    <t>Dotacja celowa z budżetu państwa na realizację projektu pn. "Podkarpacie Uczy Cyfrowo w ramach projektu Lekcja:Enter"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</si>
  <si>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</si>
  <si>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Dotacja celowa z budżetu państwa na realizację projektu pn. „Zdalny Nauczyciel = Zdalna Szkoła” w ramach Projektu Grantowego pn. „Wsparcie placówek doskonalenia nauczycieli i bibliotek pedagogicznych w realizacji zadań związanych z przygotowaniem i wsparciem nauczycieli w prowadzeniu kształcenia na odległość” w ramach Programu Operacyjnego Wiedza Edukacja Rozwój na lata 2014-2020</t>
  </si>
  <si>
    <t>Dotacje celowe otrzymane z budżetu państwa na zadania bieżące realizowane przez samorząd województwa na podstawie porozumień z organami administracji rządowej</t>
  </si>
  <si>
    <t>2220</t>
  </si>
  <si>
    <t>Biblioteki pedagogiczne</t>
  </si>
  <si>
    <t xml:space="preserve">Dochody realizowane przez jednostki oświatowe </t>
  </si>
  <si>
    <t>Zwrotu nadpłaconych wydatków poniesionych w 2020 roku na organizację m.in. posiedzeń komisji opiniujących wnioski o przyznanie nagród i stypendiów, komisji egzaminacyjnej dla nauczycieli ubiegających się o awans na stopień nauczyciela mianowanego</t>
  </si>
  <si>
    <t xml:space="preserve">Środki pochodzące z budżetu Unii Europejskiej jako refundacja wydatków poniesionych ze środków własnych na realizację projektu pn. "Europa w szkole szpitalnej" w ramach Programu ERASMUS+ </t>
  </si>
  <si>
    <t>2051</t>
  </si>
  <si>
    <t>Zwrot przez organizację pożytku publicznego dotacji pobranej w nadmiernej wysokości na realizację zadania publicznego pn. "Trimarium. Wielkoformatowa gra symulacyjna jako narzędzie wsparcia współpracy w formacie Trójmorza"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</si>
  <si>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</si>
  <si>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>2919</t>
  </si>
  <si>
    <t>2959</t>
  </si>
  <si>
    <t>6699</t>
  </si>
  <si>
    <t>Zwrot części niewykorzystanej dotacji przez samodzielne publiczne zakłady opieki zdrowotnej</t>
  </si>
  <si>
    <t>Dotacje celowe otrzymane z budżetu państwa na inwestycje i zakupy inwestycyjne z zakresu administracji rządowej oraz inne zadania zlecone ustawami realizowane przez samorząd województwa</t>
  </si>
  <si>
    <t>Dotacja celowa otrzymana z budżetu państwa na realizację inwestycji i zakupów inwestycyjnych własnych samorządu województwa</t>
  </si>
  <si>
    <t>Zwrot części dotacji na zadania realizowane przez samodzielne publiczne zakłady opieki zdrowotnej</t>
  </si>
  <si>
    <t>Zwrot części niewykorzystanej dotacji przez beneficjenta projektu realizowanego w ramach Regionalnego Programu Operacyjnego Województwa Podkarpackiego na lata 2014 - 2020</t>
  </si>
  <si>
    <t>Leczenie sanatoryjno-klimatyczne</t>
  </si>
  <si>
    <t>Dotacje celowe otrzymane z budżetu państwa na inwestycje 
i zakupy inwestycyjne z zakresu administracji rządowej oraz inne zadania zlecone ustawami realizowane przez samorząd województwa</t>
  </si>
  <si>
    <t>Lecznictwo psychiatryczne</t>
  </si>
  <si>
    <t>Dotacja celowa otrzymana z tytułu pomocy finansowej udzielanej między jednostkami samorządu terytorialnego na dofinansowanie własnych zadań inwestycyjnych i zakupów inwestycyjnych</t>
  </si>
  <si>
    <t>Medycyna pracy</t>
  </si>
  <si>
    <t xml:space="preserve">Odsetki od dotacji wykorzystanych niezgodnie z przeznaczeniem, pobranych nienależnie lub w nadmiernej wysokości na realizację zadań z zakresu przeciwdziałania narkomanii </t>
  </si>
  <si>
    <t>Zwrot dotacji wykorzystanych niezgodnie z przeznaczeniem, pobranych nienależnie lub w nadmiernej wysokości na realizację zadań z zakresu przeciwdziałania narkomanii</t>
  </si>
  <si>
    <t>Przeciwdziałnie alkoholizmowi</t>
  </si>
  <si>
    <t>Odsetki od dotacji wykorzystanych niezgodnie z przeznaczeniem, pobranych nienależnie lub w nadmiernej wysokości na realizację zadań z zakresu przeciwdziałania alkoholizmowi</t>
  </si>
  <si>
    <t>Zwrot dotacji wykorzystanych niezgodnie z przeznaczeniem, pobranych nienależnie lub w nadmiernej wysokości na realizację zadań z zakresu przeciwdziałania alkoholizmowi</t>
  </si>
  <si>
    <t>Staże i specjalizacje medyczne</t>
  </si>
  <si>
    <t xml:space="preserve">Odsetki od zwrotu dotacji wykorzystanej niezgodnie z przeznaczeniem na realizację projektu pn. „Poprawa bezpieczeństwa epidemiologicznego na terenie województwa podkarpackiego w związku z pojawieniem się koronawirusa SARS-CoV-2” realizowanego w ramach Regionalnego Programu Operacyjnego Województwa Podkarpackiego na lata 2014-2020 </t>
  </si>
  <si>
    <t>Środki z Funduszu Przeciwdziałania COVID-19 na finansowanie lub dofinansowanie realizacji zadań związanych z przeciwdziałaniem COVID-19</t>
  </si>
  <si>
    <t xml:space="preserve">Zwrot przez partnera części dotacji wykorzystanej niezgodnie z przeznaczeniem, pobranej nienależnie lub w nadmiernej wysokości na realizację projektu pn. „Poprawa bezpieczeństwa epidemiologicznego na terenie województwa podkarpackiego w związku z pojawieniem się koronawirusa SARS-CoV-2” w ramach Regionalnego Programu Operacyjnego Województwa Podkarpackiego na lata 2014-2020 </t>
  </si>
  <si>
    <t xml:space="preserve">Zwrot przez partnera części niewykorzystanej dotacji na realizację projektu pn. „Poprawa bezpieczeństwa epidemiologicznego na terenie województwa podkarpackiego w związku z pojawieniem się koronawirusa SARS-CoV-2” w ramach Regionalnego Programu Operacyjnego Województwa Podkarpackiego na lata 2014-2020 </t>
  </si>
  <si>
    <t xml:space="preserve">Zwrotu części niewykorzystanej dotacji przez partnera projektu  realizowanego w ramach Regionalnego Programu Operacyjnego Województwa Podkarpackiego na lata 2014-2020 </t>
  </si>
  <si>
    <t>Dotacje celowe otrzymane z budżetu państwa na realizację bieżących zadań własnych samorządu województwa</t>
  </si>
  <si>
    <t xml:space="preserve">Zwrotu dotacji wykorzystanych niezgodnie z przeznaczeniem, pobranych nienależnie lub w nadmiernej wysokości na realizację zadań z zakresu przeciwdziałania przemocy w rodzinie </t>
  </si>
  <si>
    <t>Regionalne ośrodki polityki społecznej</t>
  </si>
  <si>
    <t>Dochody realizowane przez Regionalny Ośrodek Polityki Społecznej w Rzeszowie</t>
  </si>
  <si>
    <t xml:space="preserve">Odsetki od dotacji wykorzystanych niezgodnie z przeznaczeniem, pobranych nienależnie lub w nadmiernej wysokości na realizację zadań z zakresu pomocy społecznej </t>
  </si>
  <si>
    <t xml:space="preserve">Zwrot dotacji wykorzystanych niezgodnie z przeznaczeniem, pobranych nienależnie lub w nadmiernej wysokości na realizację zadań z zakresu pomocy społecznej </t>
  </si>
  <si>
    <t>Środki pochodzące z budżetu Unii Europejskiej na realizację projektu pn. "Liderzy kooperacji" w ramach Programu Operacyjnego Wiedza Edukacja Rozwój na lata 2014-2020</t>
  </si>
  <si>
    <t>Środki pochodzące z budżetu Unii Europejskiej na realizację projektu pn. "Kompetencje plus" w ramach Programu Operacyjnego Wiedza Edukacja 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</si>
  <si>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</si>
  <si>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"Kompetencje plus" w ramach Programu Operacyjnego Wiedza Edukacja Rozwój na lata 2014-2020</t>
  </si>
  <si>
    <t>Środki pochodzące z budżetu Unii Europejskiej jako refundacja wydatków poniesionych ze środków własnych na realizację projektu pn. "Kompetencje plus" w ramach Programu Operacyjnego Wiedza Edukacja Rozwój na lata 2014-2020</t>
  </si>
  <si>
    <t>Środki pochodzące z budżetu Unii Europejskiej na realizację projektu pn. "Kompetencje plus" w ramach Programu Operacyjnego Wiedza Edukacja Rozwój na lata 2014-2020</t>
  </si>
  <si>
    <t>Środki pochodzące z budżetu Unii Europejskiej jako refundacja wydatków poniesionych ze środków własnych na realizację projektu pn. "CE 985 SENTINEL - rozwój i umacnianie pozycji przedsiębiorstw społecznych w celu maksymalnego zwiększenia ich wpływu na sektor ekonomiczny i społeczny w państwach Europy Środkowej" w ramach programu Interreg Europa Środkowa na lata 2014 - 2020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</si>
  <si>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</si>
  <si>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</si>
  <si>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</si>
  <si>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partnerów projektu pn. "Lepsze jutro" w ramach Programu Operacyjnego Wiedza Edukacja Rozwój na lata 2014-2020</t>
  </si>
  <si>
    <t>2957</t>
  </si>
  <si>
    <t>Środki pochodzące z budżetu Unii Europejskiej na realizację projektu pn. "Lepsze jutro" w ramach Programu Operacyjnego Wiedza Edukacja Rozwój na lata 2014-2020</t>
  </si>
  <si>
    <t>Dotacja celowa z budżetu państwa na realizację projektu pn. "Lepsze jutro" w ramach Programu Operacyjnego Wiedza Edukacja Rozwój na lata 2014-2020</t>
  </si>
  <si>
    <t>Zwrot części niewykorzystanych dotacji przez beneficjentów projektów realizowanych w ramach Regionalnego Programu Operacyjnego Województwa Podkarpackiego na lata 2014-2020</t>
  </si>
  <si>
    <t>Rehabilitacja zawodowa i społeczna osób niepełnosprawnych</t>
  </si>
  <si>
    <t>Odsetki od dotacji wykorzystanych niezgodnie z przeznaczeniem, pobranych nienależnie lub w nadmiernej wysokości na realizację zadań  wynikających z Wojewódzkiego Programu Na Rzecz Wyrównywania Szans Osób Niepełnosprawnych i Przeciwdziałania Ich Wykluczeniu Społecznemu</t>
  </si>
  <si>
    <t>Zwrot części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</si>
  <si>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</si>
  <si>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</si>
  <si>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</si>
  <si>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0948</t>
  </si>
  <si>
    <t>0959</t>
  </si>
  <si>
    <t>2918</t>
  </si>
  <si>
    <t>Dotacja celowa z budżetu państwa na współfinansowanie projektów w ramach Programu Operacyjnego Wiedza Edukacja Rozwój na lata 2014 - 2020</t>
  </si>
  <si>
    <t>2009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</si>
  <si>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</si>
  <si>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</si>
  <si>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Wpływy ze zwrotów dotacji oraz płatności wykorzystanych niezgodnie z przeznaczeniem lub wykorzystanych z naruszeniem procedur, o których mowa w art. 184 ustawy, pobranych nienależnie lub w nadmiernej wysokości</t>
  </si>
  <si>
    <t>Wpływy z pozostałych odsetek</t>
  </si>
  <si>
    <t>Wpływy z różnych dochodów</t>
  </si>
  <si>
    <t>Środki pochodzące z budżetu Unii Europejskiej na realizację projektu pn. „Standardy w zakresie mieszkalnictwa wspomaganego dla osób chorujących psychicznie po wielokrotnych pobytach w szpitalach psychiatrycznych" w ramach Programu Operacyjnego Wiedza Edukacja Rozwój na lata 2014-2020</t>
  </si>
  <si>
    <t xml:space="preserve">Dotacja celowa z budżetu państwa na współfinansowanie wydatków na realizację projektu pn. „Standardy w zakresie mieszkalnictwa wspomaganego dla osób chorujących psychicznie po wielokrotnych pobytach w szpitalach psychiatrycznych" w ramach Programu Operacyjnego Wiedza Edukacja Rozwój 2014-2020 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</si>
  <si>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</si>
  <si>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</si>
  <si>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 xml:space="preserve">Zwrot części niewykorzystanych dotacji przez beneficjentów projektów realizowanych w ramach Programu Operacyjnego Wiedza Edukacja Rozwój na lata 2014-2020        </t>
  </si>
  <si>
    <t>Internaty i bursy szkolne</t>
  </si>
  <si>
    <t xml:space="preserve">Szkolne Schroniska Młodzieżowe </t>
  </si>
  <si>
    <t>Wspieranie rodziny</t>
  </si>
  <si>
    <t>Odsetki od dotacji wykorzystanych niezgodnie z przeznaczeniem, pobranych nienależnie lub w nadmiernej wysokości przez Stowarzyszenie Razem Lepiej Dukla na realizację zadań z zakresu wspierania rodziny</t>
  </si>
  <si>
    <t xml:space="preserve">Dotacja celowa z budżetu państwa na współfinansowanie wydatków na realizację projektu pn. „Wsparcie dzieci umieszczonych w pieczy zastępczej w okresie epidemii CIVID-19" w ramach Programu Operacyjnego Wiedza, Edukacja, Rozwój 2014-2020 </t>
  </si>
  <si>
    <t>Zwrot dotacji wykorzystanych niezgodnie z przeznaczeniem, pobranych nienależnie lub w nadmiernej wysokości na realizację zadań z zakresu wspierania rodziny</t>
  </si>
  <si>
    <t>Działalność placówek opiekuńczo - wychowawczych</t>
  </si>
  <si>
    <t>Dotacje celowe otrzymane z powiatu na zadania bieżące realizowane na podstawie porozumień (umów) między jednostkami samorządu terytorialnego</t>
  </si>
  <si>
    <t>Zwrot części dotacji celowej na realizację zadań w zakresie prowadzenia regionalnych placówek opiekuńczo - terapeutycznych na terenie województwa podkarpackiego</t>
  </si>
  <si>
    <t>Wpływy i wydatki związane z gromadzeniem środków 
z opłat i kar za korzystanie ze środowiska</t>
  </si>
  <si>
    <t>3% wpływu z tytułu kary pieniężnej za uszkodzenie, zniszczenie, usunięcie drzewa lub krzewu bez zezwolenia przez osoby fizyczne</t>
  </si>
  <si>
    <t>3% wpływu z tytułu kary pieniężnej za uszkodzenie, zniszczenie, usunięcie drzewa lub krzewu bez zezwolenia przez osoby prawne i inne jednostki organizacyjne</t>
  </si>
  <si>
    <t>3% wpływu z tytułu opłat za usunięcie drzewa lub krzewu</t>
  </si>
  <si>
    <t>3% wpływu z tytułu opłat za korzystanie ze środowiska</t>
  </si>
  <si>
    <t>3% wpływu z tytułu opłat za usunięcie drzewa i krzewów</t>
  </si>
  <si>
    <t>Wpływy i wydatki związane z gromadzeniem środków 
z opłat produktowych</t>
  </si>
  <si>
    <t>1% wpływu z tytułu opłaty recyklingowej za opakowania</t>
  </si>
  <si>
    <t xml:space="preserve">2% i 10% wpływu z tytułu opłaty produktowej oraz dodatkowej opłaty produktowej </t>
  </si>
  <si>
    <t xml:space="preserve">5 % wpływu z tytułu opłat za nieosiągnięcie wymaganego poziomu odzysku i recyklingu odpadów pochodzących z pojazdów wycofanych z eksploatacji </t>
  </si>
  <si>
    <t>Wpływy z tytułu opłat za wydanie postanowienia o nałożeniu grzywny w celu przymuszenia wykonania obowiązku o charakterze niepieniężnym</t>
  </si>
  <si>
    <t>Wpływ z tytułu opłaty za wydanie interpretacji indywidualnej w zakresie importu produktów w opakowaniu</t>
  </si>
  <si>
    <t>10% wpływu z tytułu opłaty na publiczne kampanie edukacyjne</t>
  </si>
  <si>
    <t xml:space="preserve">10% wpływu z tytułu opłaty produktowej oraz dodatkowej opłaty produktowej </t>
  </si>
  <si>
    <t xml:space="preserve">Wpływy i wydatki związane z wprowadzeniem do obrotu baterii i akumulatorów </t>
  </si>
  <si>
    <t>5% wpływu z tytułu opłat za wprowadzanie do obrotu baterii i akumulatorów</t>
  </si>
  <si>
    <t>35,65% wpływu z opłaty rejestrowej i opłaty rocznej od podmiotów wprowadzających produkty, produkty w opakowaniach i gospodarujących odpadami</t>
  </si>
  <si>
    <t>Wpływ z tytułu opłat za udostępnianie informacji o środowisku</t>
  </si>
  <si>
    <t>Oosetki od zwrotu części dotacji wykorzystanej niezgodnie z przenaczeniem na realizację zadania w ramach Podkarpackiego Programu Odnowy Wsi na lata 2017-2020</t>
  </si>
  <si>
    <t>Zwrot części dotacji wykorzystanej niezgodnie z przenaczeniem na realizację zadania w ramach Podkarpackiego Programu Odnowy Wsi na lata 2017-2020</t>
  </si>
  <si>
    <t>Odsetki od dotacji wykorzystanych niezgodnie z przeznaczeniem, pobranych nienależnie lub w nadmiernej wysokości na realizację zadań z zakresu kultury</t>
  </si>
  <si>
    <t>Zwrot dotacji wykorzystanych niezgodnie z przeznaczeniem, pobranych nienależnie lub w nadmiernej wysokości na realizację zadań z zakresu kultury</t>
  </si>
  <si>
    <t>Zwrot części niewykorzystanych dotacji na realizację zadań z zakresu kultury</t>
  </si>
  <si>
    <t>Odsetki od zwrotu części niewykorzystanej dotacji</t>
  </si>
  <si>
    <t>Wpływy z tytułu pomocy finansowej udzielanej między jednostkami samorządu terytorialnego na dofinansowanie własnych zadań bieżących</t>
  </si>
  <si>
    <t>Zwrot części niewykorzystanych dotacji przez instytucje kultury</t>
  </si>
  <si>
    <t xml:space="preserve">Zwrot przez instytucje kultury części niewykorzystanych dotacji na realizację zadań z zakresu kultury  </t>
  </si>
  <si>
    <t>Zwrot dotacji wykorzystanych niezgodnie z przeznaczeniem, pobranych nienależnie lub w nadmiernej wysokości na realizację zadań przez instytucje kultury</t>
  </si>
  <si>
    <t xml:space="preserve">Zwrot przez instytucje kultury części dotacji wykorzystanych niezgodnie z przeznaczeniem, pobranych nienależnie lub w nadmiernej wysokości na realizację zadań z zakresu kultury </t>
  </si>
  <si>
    <t>Pozostałe instytucje kultury</t>
  </si>
  <si>
    <t>6690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</si>
  <si>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</si>
  <si>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</si>
  <si>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</si>
  <si>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</si>
  <si>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</si>
  <si>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</si>
  <si>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</si>
  <si>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realizowane przez Zespół Karpackich Parków Krajobrazowych w Krośnie</t>
  </si>
  <si>
    <t>Odsetki od dotacji wykorzystanych niezgodnie z przeznaczeniem, pobranych nienależnie lub w nadmiernej wysokości na realizację zadań z zakresu kultury fizycznej i sportu</t>
  </si>
  <si>
    <t>Zwrot dotacji wykorzystanych niezgodnie z przeznaczeniem, pobranych nienależnie lub w nadmiernej wysokości na realizację zadań z zakresu kultury fizycznej i sportu</t>
  </si>
  <si>
    <t>Zwrot części niewykorzystanych dotacji na realizację zadań z zakresu kultury fizycznej i sportu</t>
  </si>
  <si>
    <t>dochody bieżące</t>
  </si>
  <si>
    <t>dochody majątkowe</t>
  </si>
  <si>
    <t>Zestawienie wykonania wydatków województwa</t>
  </si>
  <si>
    <t xml:space="preserve"> (według działów, rozdziałów, paragrafów klasyfikacji budżetowej oraz rodzajów wydatków)</t>
  </si>
  <si>
    <t>Wyszczególnienie</t>
  </si>
  <si>
    <t>Plan wydatków na 2019 r. wg stanu na 31.08.2019 r. przewidywane wykonanie wydatków w 2019</t>
  </si>
  <si>
    <t xml:space="preserve">7. </t>
  </si>
  <si>
    <t>Rolnictwo i łowiectwo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</si>
  <si>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</si>
  <si>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</si>
  <si>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</si>
  <si>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</si>
  <si>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Wynagrodzenia osobowe pracowników</t>
  </si>
  <si>
    <t>Dodatkowe wynagrodzenie roczne</t>
  </si>
  <si>
    <t>Składki na ubezpieczenia społeczne</t>
  </si>
  <si>
    <t>Składki na Fundusz Pracy oraz Solidarnościowy Fundusz Wsparcia Osób Niepełnosprawnych</t>
  </si>
  <si>
    <t>Wynagrodzenia bezosobowe</t>
  </si>
  <si>
    <t>Wpłaty na PPK finansowane przez podmiot zatrudniający</t>
  </si>
  <si>
    <t xml:space="preserve"> - wydatki związane z realizacją zadań statutowych jednostek budżetowych</t>
  </si>
  <si>
    <t>Wpłaty na Państwowy Fundusz Rehabilitacji Osób Niepełnosprawnych</t>
  </si>
  <si>
    <t>Zakup materiałów i wyposażenia</t>
  </si>
  <si>
    <t>Zakup środków żywności</t>
  </si>
  <si>
    <t>Zakup energii</t>
  </si>
  <si>
    <t>Zakup usług remontowych</t>
  </si>
  <si>
    <t>Zakup usług zdrowotnych</t>
  </si>
  <si>
    <t>Zakup usług pozostałych</t>
  </si>
  <si>
    <t>Opłaty z tytułu zakupu usług telekomunikacyjnych</t>
  </si>
  <si>
    <t>Zakup usług obejmujących wykonanie ekspertyz, analiz i opinii</t>
  </si>
  <si>
    <t>4400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</si>
  <si>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</si>
  <si>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</si>
  <si>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</si>
  <si>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</si>
  <si>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>Podatek od nieruchomości</t>
  </si>
  <si>
    <t>4510</t>
  </si>
  <si>
    <t>Opłaty na rzecz budżetu państwa</t>
  </si>
  <si>
    <t>Opłaty na rzecz budżetów jednostek samorządu terytorialnego</t>
  </si>
  <si>
    <t>4530</t>
  </si>
  <si>
    <t>Podatek od towarów i usług (VAT)</t>
  </si>
  <si>
    <t xml:space="preserve">Szkolenia pracowników niebędących członkami korpusu służby cywilnej </t>
  </si>
  <si>
    <t>świadczenia na rzecz osób fizycznych:</t>
  </si>
  <si>
    <t>Wydatki osobowe niezaliczone do wynagrodzeń</t>
  </si>
  <si>
    <t>wydatki majątkowe:</t>
  </si>
  <si>
    <t>inwestycje i zakupy inwestycyjne</t>
  </si>
  <si>
    <t>Wydatki inwestycyjne jednostek budżetowych</t>
  </si>
  <si>
    <t>01006</t>
  </si>
  <si>
    <t>Zarządy melioracji i urządzeń wodnych</t>
  </si>
  <si>
    <t>Składki na Fundusz Pracy</t>
  </si>
  <si>
    <t>Pozostałe podatki na rzecz budżetów jednostek samorządu terytorialnego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</si>
  <si>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</si>
  <si>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- wydatki na programy finansowane z udziałem środków UE i źródeł zagranicznych</t>
  </si>
  <si>
    <t xml:space="preserve">Program Rozwoju Obszarów Wiejskich </t>
  </si>
  <si>
    <t>wydatki na programy finansowane z udziałem środków UE i źródeł zagranicznych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</si>
  <si>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</si>
  <si>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</si>
  <si>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 xml:space="preserve">Zwrot dotacji oraz płatności wykorzystanych niezgodnie z przeznaczeniem lub wykorzystanych z naruszeniem procedur, o których mowa w art. 184 ustawy, pobranych nienależnie lub w nadmiernej wysokości 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</si>
  <si>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</si>
  <si>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</si>
  <si>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</si>
  <si>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</si>
  <si>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</si>
  <si>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</si>
  <si>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</si>
  <si>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</si>
  <si>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</si>
  <si>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</si>
  <si>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</si>
  <si>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</si>
  <si>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</si>
  <si>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</si>
  <si>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</si>
  <si>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</si>
  <si>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</si>
  <si>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</si>
  <si>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</si>
  <si>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4398</t>
  </si>
  <si>
    <t>4399</t>
  </si>
  <si>
    <t>4418</t>
  </si>
  <si>
    <t>4419</t>
  </si>
  <si>
    <t>4438</t>
  </si>
  <si>
    <t>4439</t>
  </si>
  <si>
    <t>4569</t>
  </si>
  <si>
    <t>Odsetki od dotacji oraz płatności: wykorzystanych niezgodnie z przeznaczeniem lub wykorzystanych z naruszeniem procedur, o których mowa w art. 184 ustawy, pobranych nienależnie lub w nadmiernej wysokości</t>
  </si>
  <si>
    <t>4708</t>
  </si>
  <si>
    <t>4709</t>
  </si>
  <si>
    <t>4718</t>
  </si>
  <si>
    <t>4719</t>
  </si>
  <si>
    <t>dotacje na zadania bieżące: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</si>
  <si>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</si>
  <si>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</si>
  <si>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\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</si>
  <si>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</si>
  <si>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</si>
  <si>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</si>
  <si>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</si>
  <si>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4560</t>
  </si>
  <si>
    <t>Kary i odszkodowania wypłacane na rzecz osób fizycznych</t>
  </si>
  <si>
    <t>4610</t>
  </si>
  <si>
    <t>Koszty postępowania sądowego i prokuratorskiego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</si>
  <si>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</si>
  <si>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</si>
  <si>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Program Operacyjny Zrównoważony rozwój sektora rybołówstwa i nadbrzeżnych obszarów rybackich 2007-2013 oraz Program Operacyjny Rybactwo i Morze 2014-2020</t>
  </si>
  <si>
    <t xml:space="preserve">Zwrot dotacji oraz płatności wykorzystanych niezgodnie z przeznaczeniem lub wykorzystanych z naruszeniem procedur, o których mowa w art.. 184 ustawy, pobranych nienależnie lub w nadmiernej wysokości </t>
  </si>
  <si>
    <t>Zakup usług obejmujących wykonywanie ekspertyz, analiz i opinii</t>
  </si>
  <si>
    <t>Przetwórstwo przemysłowe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</si>
  <si>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</si>
  <si>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Zwroty dotacji oraz płatności wykorzystanych niezgodnie z przeznaczeniem lub wykorzystanych z naruszeniem procedur, o których mowa w art. 184 ustawy, pobranych nienależnie lub w nadmiernej wysokości</t>
  </si>
  <si>
    <t>Zwrot niewykorzystanych dotacji oraz płatności</t>
  </si>
  <si>
    <t>4017</t>
  </si>
  <si>
    <t>4047</t>
  </si>
  <si>
    <t>4117</t>
  </si>
  <si>
    <t>4127</t>
  </si>
  <si>
    <t>4217</t>
  </si>
  <si>
    <t>4307</t>
  </si>
  <si>
    <t>4397</t>
  </si>
  <si>
    <t>4417</t>
  </si>
  <si>
    <t>4707</t>
  </si>
  <si>
    <t>4717</t>
  </si>
  <si>
    <t>6067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</si>
  <si>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</si>
  <si>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</si>
  <si>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6209</t>
  </si>
  <si>
    <t>6259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</si>
  <si>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</si>
  <si>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6669</t>
  </si>
  <si>
    <t>Rozwój kadr nowoczesnej gospodarki i przedsiębiorczości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</si>
  <si>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</si>
  <si>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6697</t>
  </si>
  <si>
    <t>500</t>
  </si>
  <si>
    <t>Handel</t>
  </si>
  <si>
    <t>50005</t>
  </si>
  <si>
    <t>Promocja eksportu</t>
  </si>
  <si>
    <t>Transport i łączność</t>
  </si>
  <si>
    <t>4580</t>
  </si>
  <si>
    <t>Pozostałe odsetki</t>
  </si>
  <si>
    <t>4600</t>
  </si>
  <si>
    <t>Kary, odszkodowania i grzywny wypłacane na rzecz osób prawnych i innych jednostek organizacyjnych</t>
  </si>
  <si>
    <t>Dotacja celowa na pomoc finansową udzielaną między jednostkami samorządu terytorialnego na dofinansowanie własnych zadań bieżących</t>
  </si>
  <si>
    <t>Dotacja celowa z budżetu na finansowanie lub dofinansowanie zadań zleconych do realizacji pozostałym jednostkom niezaliczanym do sektora finansów publicznych</t>
  </si>
  <si>
    <t>6069</t>
  </si>
  <si>
    <t>6057</t>
  </si>
  <si>
    <t>6059</t>
  </si>
  <si>
    <t>Dotacja celowa w ramach programów finansowanych z udziałem środków europejskich oraz środków, o których mowa w art. 5 ust. 1 pkt 3 oraz ust. 3 pkt 5 i 6 ustawy, lub płatności w ramach budżetu środków europejskich</t>
  </si>
  <si>
    <t>6257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</si>
  <si>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</si>
  <si>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 xml:space="preserve">Dotacja przedmiotowa z budżetu dla jednostek niezaliczanych do sektora finansów publicznych </t>
  </si>
  <si>
    <t>Dotacja celowa z budżetu dla pozostałych jednostek zaliczanych do sektora finansów publicznych</t>
  </si>
  <si>
    <t>Zwrot dotacji oraz płatności wykorzystanych niezgodnie z przeznaczeniem lub wykorzystanych z naruszeniem procedur, o których mowa w art. 184 ustawy, pobranych nienależnie lub w nadmiernej wysokości</t>
  </si>
  <si>
    <t>4420</t>
  </si>
  <si>
    <t>Podróże służbowe zagraniczne</t>
  </si>
  <si>
    <t>488</t>
  </si>
  <si>
    <t>0</t>
  </si>
  <si>
    <t xml:space="preserve"> inwestycje i zakupy inwestycyjne</t>
  </si>
  <si>
    <t>6058</t>
  </si>
  <si>
    <t>6068</t>
  </si>
  <si>
    <t>6667</t>
  </si>
  <si>
    <t>Wydatki majątkowe:</t>
  </si>
  <si>
    <t xml:space="preserve"> - inwestycyjne i zakupy inwestycyjne</t>
  </si>
  <si>
    <t>Dotacja celowa na pomoc finansową  udzielaną między jednostkami samorządu terytorialnego na dofinansowanie własnych zadań inwestycyjnych i zakupów inwestycyjnych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</si>
  <si>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</si>
  <si>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</si>
  <si>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</si>
  <si>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Turystyka</t>
  </si>
  <si>
    <t xml:space="preserve">Zakup usług pozostałych 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</si>
  <si>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</si>
  <si>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4380</t>
  </si>
  <si>
    <t>Zakup usług obejmujących tłumaczenia</t>
  </si>
  <si>
    <t>4388</t>
  </si>
  <si>
    <t>4389</t>
  </si>
  <si>
    <t>4428</t>
  </si>
  <si>
    <t>4429</t>
  </si>
  <si>
    <t>Dotacje celowe przekazane do samorządu województwa na zadania bieżące realizowane na podstawie porozumień (umów) między jednostkami samorządu terytorialnego</t>
  </si>
  <si>
    <t>2005</t>
  </si>
  <si>
    <t>4015</t>
  </si>
  <si>
    <t>4016</t>
  </si>
  <si>
    <t>4115</t>
  </si>
  <si>
    <t>4116</t>
  </si>
  <si>
    <t>4125</t>
  </si>
  <si>
    <t>4126</t>
  </si>
  <si>
    <t>4215</t>
  </si>
  <si>
    <t>4216</t>
  </si>
  <si>
    <t>4305</t>
  </si>
  <si>
    <t>4306</t>
  </si>
  <si>
    <t>4385</t>
  </si>
  <si>
    <t>4386</t>
  </si>
  <si>
    <t>4415</t>
  </si>
  <si>
    <t>4416</t>
  </si>
  <si>
    <t>4425</t>
  </si>
  <si>
    <t>4426</t>
  </si>
  <si>
    <t>Gospodarka mieszkaniowa</t>
  </si>
  <si>
    <t xml:space="preserve">Dotacja celowa na pomoc finansową udzielaną między jednostkami samorządu terytorialnego na dofinansowanie własnych zadań bieżących </t>
  </si>
  <si>
    <t>Działalność usługowa</t>
  </si>
  <si>
    <t>71003</t>
  </si>
  <si>
    <t>Zakup środków żywnościowych</t>
  </si>
  <si>
    <t>Zakup środków dydaktycznych i książek</t>
  </si>
  <si>
    <t>Opłata z tytułu zakupu usług telekomunikacyjnych</t>
  </si>
  <si>
    <t>Informatyka</t>
  </si>
  <si>
    <t>4570</t>
  </si>
  <si>
    <t>Odsetki od nieterminowych wpłat z tytułu pozostałych podatków i opłat</t>
  </si>
  <si>
    <t>730</t>
  </si>
  <si>
    <t>Szkolnictwo wyższe i nauka</t>
  </si>
  <si>
    <t>73006</t>
  </si>
  <si>
    <t>Działalność upowszechniająca naukę</t>
  </si>
  <si>
    <t>73016</t>
  </si>
  <si>
    <t>3250</t>
  </si>
  <si>
    <t>Stypendia różne</t>
  </si>
  <si>
    <t>73095</t>
  </si>
  <si>
    <t>2260</t>
  </si>
  <si>
    <t>Dotacja podmiotowa z budżetu dla jednostek systemu szkolnictwa wyższego i nauki niezaliczanych do sektora finansów publicznych</t>
  </si>
  <si>
    <t>2270</t>
  </si>
  <si>
    <t>Dotacja podmiotowa z budżetu dla jednostek systemu szkolnictwa wyższego i nauki zaliczanych do sektora finansów publicznych</t>
  </si>
  <si>
    <t>4177</t>
  </si>
  <si>
    <t>4387</t>
  </si>
  <si>
    <t>4427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</si>
  <si>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</si>
  <si>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</si>
  <si>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Zwroty niewykorzystanych dotacji oraz płatności, dotyczące wydatków majątkowych</t>
  </si>
  <si>
    <t>Administracja publiczna</t>
  </si>
  <si>
    <t>75017</t>
  </si>
  <si>
    <t>Samorządowe sejmiki województw</t>
  </si>
  <si>
    <t xml:space="preserve">Różne wydatki na rzecz osób fizycznych </t>
  </si>
  <si>
    <t>75018</t>
  </si>
  <si>
    <t>wydatki bieżące</t>
  </si>
  <si>
    <t>3028</t>
  </si>
  <si>
    <t>3029</t>
  </si>
  <si>
    <t>3038</t>
  </si>
  <si>
    <t>Różne wydatki na rzecz osób fizycznych</t>
  </si>
  <si>
    <t>3039</t>
  </si>
  <si>
    <t>4268</t>
  </si>
  <si>
    <t>4269</t>
  </si>
  <si>
    <t>4288</t>
  </si>
  <si>
    <t>4289</t>
  </si>
  <si>
    <t>4368</t>
  </si>
  <si>
    <t>Opłaty z tytułu zakupu usług telekomunikacyjnych świadczonych w ruchomej publicznej sieci telefonicznej</t>
  </si>
  <si>
    <t>4408</t>
  </si>
  <si>
    <t>4409</t>
  </si>
  <si>
    <t>4528</t>
  </si>
  <si>
    <t>4529</t>
  </si>
  <si>
    <t>Odsetki od dotacji oraz płatności; wykorzystanych niezgodnie z przeznaczeniem lub wykorzystanych z naruszeniem procedur, o których mowa w art.184 ustawy, pobranych nienaleznie lub w nadmiernej wysokości</t>
  </si>
  <si>
    <t>4618</t>
  </si>
  <si>
    <t>4619</t>
  </si>
  <si>
    <t>Zwroty  dotacji oraz płatności wykorzystanych niezgodnie z przeznaczeniem lub wykorzystanych z naruszeniem procedur, o których mowa w art.184 ustawy, pobranych nienaleznie lub w nadmiernej wysokości, dotyczące wydatków majątkowych</t>
  </si>
  <si>
    <t>Urzędy gmin (miast i miast na prawach powiatu)</t>
  </si>
  <si>
    <t>Szkolenia pracowników niebędących członkami korpusu służby cywilnej</t>
  </si>
  <si>
    <t>75079</t>
  </si>
  <si>
    <t>4470</t>
  </si>
  <si>
    <t>Cła</t>
  </si>
  <si>
    <t>świadczenia na rzecz osób fizycznych</t>
  </si>
  <si>
    <t>4540</t>
  </si>
  <si>
    <t>Składki dla organizacji międzynarodowych</t>
  </si>
  <si>
    <t>Dotacja celowa z budżetu na finansowanie lub dofinansowanie zadań zleconych do realizacji pozostałym jednostkom nie zaliczanym do sektora finansów publicznych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</si>
  <si>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</si>
  <si>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2958</t>
  </si>
  <si>
    <t>4228</t>
  </si>
  <si>
    <t>4229</t>
  </si>
  <si>
    <t>4267</t>
  </si>
  <si>
    <t>4367</t>
  </si>
  <si>
    <t>4369</t>
  </si>
  <si>
    <t>4437</t>
  </si>
  <si>
    <t>6698</t>
  </si>
  <si>
    <t>Obrona narodowa</t>
  </si>
  <si>
    <t>Bezpieczeństwo publiczne i ochrona przeciwpożarowa</t>
  </si>
  <si>
    <t>75404</t>
  </si>
  <si>
    <t>Komendy wojewódzkie Policji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</si>
  <si>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</si>
  <si>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</si>
  <si>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</si>
  <si>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</si>
  <si>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75406</t>
  </si>
  <si>
    <t>Straż Graniczna</t>
  </si>
  <si>
    <t>3000</t>
  </si>
  <si>
    <t>75410</t>
  </si>
  <si>
    <t>Komendy wojewódzkie Państwowej Straży Pożarnej</t>
  </si>
  <si>
    <t>75415</t>
  </si>
  <si>
    <t>Zadania ratownictwa górskiego i wodnego</t>
  </si>
  <si>
    <t>6190</t>
  </si>
  <si>
    <t>Dotacje celowe z budżetu jednostki samorządu terytorialnego, udzielone w trybie art. 221 ustawy na dofinansowanie inwestycji w ramach zadań zleconych do realizacji organizacjom prowadzącym działalność pożytku publicznego</t>
  </si>
  <si>
    <t>757</t>
  </si>
  <si>
    <t>Obsługa długu publicznego</t>
  </si>
  <si>
    <t>75702</t>
  </si>
  <si>
    <t>Obsługa papierów wartościowych, kredytów i pożyczek jednostek samorządu terytorialnego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</si>
  <si>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</si>
  <si>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</si>
  <si>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</si>
  <si>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</si>
  <si>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</si>
  <si>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</si>
  <si>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</si>
  <si>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</si>
  <si>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</si>
  <si>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</si>
  <si>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</si>
  <si>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</si>
  <si>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</si>
  <si>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</si>
  <si>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</si>
  <si>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</si>
  <si>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Oświata i wychowanie</t>
  </si>
  <si>
    <t>80101</t>
  </si>
  <si>
    <t xml:space="preserve">Szkoły podstawowe </t>
  </si>
  <si>
    <t>80102</t>
  </si>
  <si>
    <t xml:space="preserve">Wynagrodzenia bezosobowe </t>
  </si>
  <si>
    <t xml:space="preserve">Wpłaty na Państwowy Fundusz Rehabilitacji Osób Niepełnosprawnych </t>
  </si>
  <si>
    <t>80104</t>
  </si>
  <si>
    <t>Przedszkola</t>
  </si>
  <si>
    <t>80111</t>
  </si>
  <si>
    <t>Gimnazja specjalne</t>
  </si>
  <si>
    <t>80116</t>
  </si>
  <si>
    <t>80121</t>
  </si>
  <si>
    <t>Licea ogólnokształcące specjalne</t>
  </si>
  <si>
    <t>80130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</si>
  <si>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</si>
  <si>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</si>
  <si>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</si>
  <si>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 xml:space="preserve">Koszty postępowania sądowego i prokuratorskiego </t>
  </si>
  <si>
    <t>3240</t>
  </si>
  <si>
    <t>Stypendia dla uczniów</t>
  </si>
  <si>
    <t>3247</t>
  </si>
  <si>
    <t>3249</t>
  </si>
  <si>
    <t>4247</t>
  </si>
  <si>
    <t>4249</t>
  </si>
  <si>
    <t>80146</t>
  </si>
  <si>
    <t>3027</t>
  </si>
  <si>
    <t>4176</t>
  </si>
  <si>
    <t>4226</t>
  </si>
  <si>
    <t>4227</t>
  </si>
  <si>
    <t>4347</t>
  </si>
  <si>
    <t>Zakup usług remontowo - konserwatorskich dotyczących obiektów zabytkowych będących w użytkowaniu jednostek budżetowych</t>
  </si>
  <si>
    <t>4349</t>
  </si>
  <si>
    <t>4366</t>
  </si>
  <si>
    <t xml:space="preserve">Opłaty z tytułu zakupu usług telekomunikacyjnych </t>
  </si>
  <si>
    <t>80147</t>
  </si>
  <si>
    <t xml:space="preserve">Zapewnienie uczniom prawa do bezpłatnego dostępu do podręczników, materiałów edukacyjnych lub materiałów ćwiczeniowych </t>
  </si>
  <si>
    <t>3040</t>
  </si>
  <si>
    <t>Nagrody o charakterze szczególnym niezaliczone do wynagrodzeń</t>
  </si>
  <si>
    <t>2001</t>
  </si>
  <si>
    <t>4701</t>
  </si>
  <si>
    <t>803</t>
  </si>
  <si>
    <t>Szkolnictwo wyższe</t>
  </si>
  <si>
    <t>80309</t>
  </si>
  <si>
    <t>4989</t>
  </si>
  <si>
    <t>Zwroty dotyczące rozliczeń z Komisją Europejską</t>
  </si>
  <si>
    <t>80395</t>
  </si>
  <si>
    <t>dotacje na zadania bieżące</t>
  </si>
  <si>
    <t>2500</t>
  </si>
  <si>
    <t>Dotacja podmiotowa z budżetu dla uczelni niepublicznej na zadania, o których mowa w art. 94 ust. 1 pkt 1 ustawy z dnia 27 lipca 2005 r. - Prawo o szkolnictwie wyższym</t>
  </si>
  <si>
    <t>2520</t>
  </si>
  <si>
    <t>Dotacja podmiotowa z budżetu dla uczelni publicznej na zadania, o których mowa w art. 94 ust. 1 pkt 1 ustawy z dnia 27 lipca 2005 r. - Prawo o szkolnictwie wyższym</t>
  </si>
  <si>
    <t>Ochrona zdrowia</t>
  </si>
  <si>
    <t>4160</t>
  </si>
  <si>
    <t>Pokrycie ujemnego wyniku finansowego jednostek zaliczanych do sektora finansów publicznych</t>
  </si>
  <si>
    <t>2560</t>
  </si>
  <si>
    <t>Dotacja podmiotowa z budżetu dla samodzielnego publicznego zakładu opieki zdrowotnej utworzonego przez jednostkę samorządu terytorialnego</t>
  </si>
  <si>
    <t>85119</t>
  </si>
  <si>
    <t>Leczenie sanatoryjno - klimatyczne</t>
  </si>
  <si>
    <t>85120</t>
  </si>
  <si>
    <t>85121</t>
  </si>
  <si>
    <t>Lecznictwo ambulatoryjne</t>
  </si>
  <si>
    <t>85148</t>
  </si>
  <si>
    <t>85149</t>
  </si>
  <si>
    <t>Programy polityki zdrowotnej</t>
  </si>
  <si>
    <t>Przeciwdziałanie alkoholizmowi</t>
  </si>
  <si>
    <t>Dotacja celowa przekazana gminie na inwestycje i zakupy inwestycyjne realizowane na podstawie porozumień (umów) między jednostkami samorządu terytorialnego</t>
  </si>
  <si>
    <t>Składki na ubezpieczenie zdrowotne</t>
  </si>
  <si>
    <t>Składki na ubezpieczenia społeczne</t>
  </si>
  <si>
    <t>Składki na Fundusz Pracy oraz Fundusz Solidarnościowy</t>
  </si>
  <si>
    <t>Dochody jednostek samorządu terytorialnego związane z realizacją zadań z zakresu administracji rządowej oraz innych zadań zleconych ustawami</t>
  </si>
  <si>
    <t xml:space="preserve">Dotacja podmiotowa z budżetu dla samodzielnego publicznego zakładu opieki zdrowotnej utworzonego przez jednostkę samorządu terytorialnego </t>
  </si>
  <si>
    <t>Pomoc społeczna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</si>
  <si>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</si>
  <si>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Zasiłki okresowe, celowe i pomoc w naturze oraz składki na ubezpieczenia emerytalne i rentowe</t>
  </si>
  <si>
    <t>85217</t>
  </si>
  <si>
    <t>Powiatowe centra pomocy rodzinie</t>
  </si>
  <si>
    <t>Ośrodki pomocy społecznej</t>
  </si>
  <si>
    <t>85295</t>
  </si>
  <si>
    <t>3037</t>
  </si>
  <si>
    <t>4277</t>
  </si>
  <si>
    <t>4287</t>
  </si>
  <si>
    <t>4407</t>
  </si>
  <si>
    <t>4447</t>
  </si>
  <si>
    <t>4449</t>
  </si>
  <si>
    <t>4487</t>
  </si>
  <si>
    <t>4489</t>
  </si>
  <si>
    <t>4527</t>
  </si>
  <si>
    <t>Pozostałe zadania w zakresie polityki społecznej</t>
  </si>
  <si>
    <t>85311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</si>
  <si>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</si>
  <si>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</si>
  <si>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</si>
  <si>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</si>
  <si>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</si>
  <si>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>Edukacyjna opieka wychowawcza</t>
  </si>
  <si>
    <t>85410</t>
  </si>
  <si>
    <t>Opłaty na rzecz budżetów jednostek budżetowych</t>
  </si>
  <si>
    <t>85416</t>
  </si>
  <si>
    <t>Pomoc materialna dla uczniów o charakterze motywacyjnym</t>
  </si>
  <si>
    <t>85417</t>
  </si>
  <si>
    <t>Szkolne schroniska młodzieżowe</t>
  </si>
  <si>
    <t xml:space="preserve">dotacje na zadania bieżące </t>
  </si>
  <si>
    <t>Rodzina</t>
  </si>
  <si>
    <t>85503</t>
  </si>
  <si>
    <t>Karta Dużej Rodziny</t>
  </si>
  <si>
    <t>85504</t>
  </si>
  <si>
    <t>85508</t>
  </si>
  <si>
    <t>Rodziny zastępcze</t>
  </si>
  <si>
    <t>Wpływy ze zwrotów niewykorzystanych dotacji oraz płatności</t>
  </si>
  <si>
    <t>Gospodarka komunalna i ochrona środowiska</t>
  </si>
  <si>
    <t>90002</t>
  </si>
  <si>
    <t>Gospodarka odpadami</t>
  </si>
  <si>
    <t>90004</t>
  </si>
  <si>
    <t>Utrzymanie zieleni w miastach i gminach</t>
  </si>
  <si>
    <t>90005</t>
  </si>
  <si>
    <t>Ochrona powietrza atmosferycznego i klimatu</t>
  </si>
  <si>
    <t>90007</t>
  </si>
  <si>
    <t>Zmniejszenie hałasu i wibracji</t>
  </si>
  <si>
    <t>90008</t>
  </si>
  <si>
    <t>Ochrona różnorodności biologicznej i krajobrazu</t>
  </si>
  <si>
    <t>90015</t>
  </si>
  <si>
    <t>Oświetlenie ulic, placów i dróg</t>
  </si>
  <si>
    <t>Pozostałe działania związane z gospodarką odpadami</t>
  </si>
  <si>
    <t>Składki na Fundusz Pracy oraz Fundusz Solidarnościowy</t>
  </si>
  <si>
    <t>Dotacje elowe w ramach programów finansowanych z udziałem środków europejskich oraz środków o których mowa w art.. 5 ust. 1 pkt 3 oraz ust. 3 pkt 5 i 6 ustawy, lub płatności w ramach budżetu środków europejskich, z wyłączeniem wydatków klasyfikowanych w paragrafie 625</t>
  </si>
  <si>
    <t>Kultura i ochrona dziedzictwa narodowego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</si>
  <si>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</si>
  <si>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 xml:space="preserve">Teatry </t>
  </si>
  <si>
    <t>Dotacja podmiotowa z budżetu dla samorządowej instytucji kultury</t>
  </si>
  <si>
    <t>92108</t>
  </si>
  <si>
    <t>6229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</si>
  <si>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</si>
  <si>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Zwrot niewykorzystanych dotacji oraz płatności, dotyczące wydatków majątkowych</t>
  </si>
  <si>
    <t>92110</t>
  </si>
  <si>
    <t>Galerie i biura wystaw artystycznych</t>
  </si>
  <si>
    <t>92114</t>
  </si>
  <si>
    <t>Dotacja celowa na pomoc finansową udzielaną między jednostkami samorządu terytorialnego na dofinansowanie własnych zadań inwestycyjnych i zakupów inwestycyjnych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</si>
  <si>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</si>
  <si>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</si>
  <si>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</si>
  <si>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</si>
  <si>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</si>
  <si>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</si>
  <si>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92195</t>
  </si>
  <si>
    <t>925</t>
  </si>
  <si>
    <t>Ogrody botaniczne i zoologiczne oraz naturalne obszary i obiekty chronionej przyrody</t>
  </si>
  <si>
    <t>92501</t>
  </si>
  <si>
    <t>Parki narodowe</t>
  </si>
  <si>
    <t>92502</t>
  </si>
  <si>
    <t>92595</t>
  </si>
  <si>
    <t>Kultura fizyczna</t>
  </si>
  <si>
    <t>92601</t>
  </si>
  <si>
    <t>dotacje  na zadania bieżące:</t>
  </si>
  <si>
    <t>2820</t>
  </si>
  <si>
    <t>Dotacja celowa z budżetu na finansowanie lub dofinansowanie zadań zleconych do realizacji stowarzyszeniom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</si>
  <si>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</si>
  <si>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</si>
  <si>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</si>
  <si>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</si>
  <si>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</si>
  <si>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</si>
  <si>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</si>
  <si>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</si>
  <si>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</si>
  <si>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</si>
  <si>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</si>
  <si>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</si>
  <si>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</si>
  <si>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</si>
  <si>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</si>
  <si>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>Dotacje celowe dla gmin i powiatów oraz ich związków –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</si>
  <si>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Dotacje celowe na pomoc finansową dla: 
1) Powiatu Rzeszowskiego z przeznaczeniem na realizację zadania pn.: „Rozbudowa łącznika drogi ekspresowej S-19 – drogi powiatowej na odcinku od węzła Rzeszów–Południe do drogi krajowej Nr 19 – etap I” - 825.027,78 zł,
2) Powiatu Krośnieńskiego z przeznaczeniem na realizację zadania pn. "Przebudowa drogi powiatowej nr 1954R Chorkówka - Bóbrka w km 0+000 do 3+730" - 400.000,00 zł.</t>
  </si>
  <si>
    <t>Zestawienie wykonania planu przychodów i rozchodów budżetu</t>
  </si>
  <si>
    <t>1. PRZYCHODY</t>
  </si>
  <si>
    <t>Źródło przychodu</t>
  </si>
  <si>
    <t>% wykonania
(3:2)</t>
  </si>
  <si>
    <t xml:space="preserve">Kredyty i pożyczki długoterminowe (pożyczka z Banku Rozwoju Rady Europy CEB) </t>
  </si>
  <si>
    <t xml:space="preserve">Spłata udzielonych z budżetu pożyczek </t>
  </si>
  <si>
    <t>Nadwyżka z lat ubiegłych</t>
  </si>
  <si>
    <t>-</t>
  </si>
  <si>
    <t>Wolne środki jako nadwyżka środków pieniężnych na rachunku bieżącym budżetu jednostki samorządu terytorialnego wynikające z rozliczeń wyemitowanych papierów wartościowych, kredytów, pożyczek z lat ubiegłych</t>
  </si>
  <si>
    <t xml:space="preserve">Niewykorzystane środki na rachunku bieżącym budżetu, wynikające z rozliczenia dochodów i wydatków nimi finansowanych związane ze szczególnymi zasadami wykonywania budżetu określonymi w odrębnych ustawach </t>
  </si>
  <si>
    <t xml:space="preserve">Niewykorzystane środki pieniężne na rachunku bieżącym budżetu, wynikające z rozliczenia środków określonych w art. 5 ust. 1 pkt 2 ustawy o finansach publicznych i dotacji na realizację programu, projektu lub zadania finansowanego z udziałem tych środków </t>
  </si>
  <si>
    <t>2. ROZCHODY</t>
  </si>
  <si>
    <t>Przeznaczenie rozchodu</t>
  </si>
  <si>
    <t>Spłaty rat pożyczki długoterminowej z Banku Rozwoju Rady Europy (CEB)</t>
  </si>
  <si>
    <t>Wykup obligacji</t>
  </si>
  <si>
    <t xml:space="preserve">Spłaty rat kredytu długoterminowego </t>
  </si>
  <si>
    <t>Przelewy na lokaty wykraczające poza rok budżetowy</t>
  </si>
  <si>
    <t xml:space="preserve">Udzielone pożyczki </t>
  </si>
  <si>
    <t>Dotacje celowe na pomoc finansową dla Gminy Mielec na zadanie pn. „Remont budynku przyszkolnego z przeznaczeniem na zaplecze techniczne dla istniejących organizacji wiejskich w Chrząstowie", realizowane w ramach „Podkarpackiego Programu Odnowy Wsi na lata 2021-2025”.</t>
  </si>
  <si>
    <t>Dotacje celowe na pomoc finansową dla Powiatu Stalowowolskiego z przeznaczeniem na prowadzenie Medycznej Szkoły Policealnej im. Hanny Chrzanowskiej w Stalowej Woli.</t>
  </si>
  <si>
    <t>Dotacja celowa na realizację zadania powierzonego Województwu Warmińsko – Mazurskiemu na dofinansowanie zadań związanych z funkcjonowaniem 
i działalnością Domu Polski Wschodniej w Brukseli.</t>
  </si>
  <si>
    <t>Dotacja celowa na pomoc finansową dla Gminy Trzebownisko z przeznaczeniem na  zadanie pn. „W poszukiwaniu Józefa Rysia- etap I” w ramach „Podkarpackiego Programu Odnowy Wsi na lata 2021-2025”.</t>
  </si>
  <si>
    <t>Dotacje celowe na pomoc finasową dla jednostek samorządu terytorialnego, z tego dla:
1)Powiatu Ropczycko-Sędziszowskiego z przeznaczeniem na odbudowę domu rodzinnego kapitana Karola Chmiela, oficera Wojska Polskiego i Armii Krajowej, członka IV Zarządu Zrzeszenia Wolność i Niezawisłość, na utworzenie w nim izby pamięci – 59.040,00 zł,
2) Powiatu Lubaczowskiego z przeznaczeniem na realizację zadania pn. Budowa budynku magazynowego dla Muzeum Kresów w Lubaczowie – etap IV - 92.500,00 zł,
3) Gminy Markowa z przeznaczeniem na realizację zadania pn. „Odtworzenie domu – chałupy Szylarów z kryjówką i gołębnikiem na strychu” - 100.000,00 zł,
4) Gminy Miejskiej Lubaczów na realizację zadania pn. „Budowa pomnika gen. Stanisława Dąbka w Lubaczowie” - 30.000,00 zł,
5) gmin w ramach „Podkarpackiego Programu Odnowy Wsi na lata 2017-2020” - 82.296,00 zł, w tym dla: 
a) Gminy Lutowiska na zadanie pn. „Termomodernizacja budynku Remizo-Świetlicy w Chmielu realizowana poprzez wykonanie instalacji OZE (fotowoltaika) oraz remont pomieszczeń" w kwocie 12.000,00 zł,
b) Gminy Stary Dzików na zadanie pn. „Utworzenie Izby tradycji wsi Nowy Dzików poprzez budowę altany na dawny sprzęt rolniczy" w kwocie 11.591,00 zł,
c) Gminy Skołyszyn na zadanie pn. „Doposażenie placu zabaw wraz z wykonaniem bezpiecznej nawierzchni w okolicy Domu Ludowego w Bączalu Górnym" w kwocie 12.000,00 zł,
d) Gminy Baranów Sandomierski na zadanie pn. "Utworzenie miejsca integracji społeczności i tożsamości lokalnej - "Winnica wraz z odnowieniem miejsca pamięci po cmentarzu wojennym z I wojny światowej w miejscowości Skopanie" w kwocie 10.945,00  zł,
e) Gminy Tyczyn na zadanie pn. „Poprawa stanu oraz doposażenie w ławki i stoliki grzybka przy remizie OSP w Borku Starym” w kwocie 12.000,00 zł,</t>
  </si>
  <si>
    <t xml:space="preserve">Dotacje celowe na pomoc finansową dla:
1) Gminy Chmielnik na zadanie pn. „Poprawa estetyki i funkcjonalności miejsc publicznych”, realizowane w ramach „Podkarpackiego Programu Odnowy Wsi na lata 2021-2025” w kwocie 12.000,00 zł.
2) Województwa Małopolskiego na wykonanie wstępnego studium planistyczno-prognostycznego dla projektu pn. „Rewitalizacja linii kolejowej nr 108 na odcinku Gorlice-Jasło, celem usprawnienia połączenia Kraków- Jasło wraz z rewitalizacją linii kolejowej nr 110 i budową łącznicy pomiędzy ww. liniami" realizowanego w ramach projektu Kolej + w kwocie 483.045,35 zł. </t>
  </si>
  <si>
    <t>Dotacje celowe na pomoc finansową dla gmin w ramach „Podkarpackiego Programu Odnowy Wsi na lata 2021-2025”, w tym dla:
1) Gminy Grębów na zadanie pn. „Remont Domu Ludowego w Zabrniu” w kwocie 12.000,00 zł,
2) Gminy Chorkówka na zadanie pn. „Remont pomieszczeń w budynku Domu Strażaka w Sulistrowej” w kwocie 12.000,00 zł,
3) Gminy Królik Polski na  zadanie pn. „Szkolenia w ramach " Remont Domu Ludowego w Króliku Polskim i zakup wyposażenia” w kwocie 12.000,00 zł,
4) Gminy Borowa na zadanie pn. „Utworzenie całorocznego miejsca spotkań dla dzieci, młodzieży i dorosłych w Domu Strażaka w Surowej, poprzez zamontowanie systemu grzewczego w pomieszczeniach przeznaczonych na świetlicę wiejską” w kwocie 12.000,00 zł, 
5) Gminy Przecław na zadanie pn.: „Remont Sali głównej w Domu Ludowym w Podolu” w kwocie 12.000,00 zł,
6) Gminy Horyniec-Zdrój na zadanie pn. „Realizacja inicjatywy "Uniwersytet Samorządności" poprzez zakup wyposażenia do sali dydaktycznej w budynku Świetlicy Wiejskiej w Radrużu” w kwocie 10.877,00 zł,
7) Gminy Bircza na zadanie pn.  „Zakup wyposażenia służącego realizacji inicjatyw edukacyjnych dla Gminnego Ośrodka Kultury Sportu i Turystyki w Birczy w ramach Podkarpackiego Programu Odnowy wsi na lata 2021-2025 na realizację I etapu koncepcji "Uniwersytet Samorządności" w kwocie 5.000,00 zł,
8) Gminy Rymanów na zadanie pn. „Zakup wyposażenia do Gminnego Ośrodka Kultury w Rymanowie  na potrzeby przeprowadzenia koncepcji "Uniwersytet Samorządności"” w kwocie 14.000,00 zł,
9) Gminy Sędziszów Małopolski na zadanie pn. „Zakup wyposażenia dla Miejsko-Gminnego Ośrodka Kultury w Sędziszowie Małopolskim na potrzeby Inicjatywy pn. "Uniwersytet Samorządności” w kwocie 5.000,00zł,
10) Gminy Baranów Sandomierski na zadanie pn.: „Remont i wyposażenie szatni Miejsko-Gminnego Ośrodka Kultury w Baranowie Sandomierskim celem stworzenia warunków umożliwiających przeprowadzenie inicjatyw edukacyjnych w ramach koncepcji "Uniwersytet Samorządności" w kwocie 5.000,00 zł, 
11) Gminy Bukowsko na zadanie pn.: „Zakup wyposażenia do Domu Ludowego w Bukowsku na potrzeby realizacji koncepcji "Uniwersytet Samorządności" w kwocie 15.000,00 zł,
12) Gminy Kuryłówka na zadanie pn.: „Realizacja inicjatywy „Uniwersytet Samorządności” poprzez przebudowę pomieszczeń i zakup wyposażenia Domu Ludowego w Brzyskiej Woli” w kwocie 15.000,00 zł,
13) Gminy Pysznica na zadanie pn. „Remont świetlicy wiejskiej w Sudołach w celu realizacji inicjatywy "Uniwersytet Samorządności” w kwocie 15.000,00 zł.</t>
  </si>
  <si>
    <t>Dotacje celowe na pomoc finansową dla gmin w ramach „Podkarpackiego Programu Odnowy Wsi na lata 2021-2025", w tym dla:
1) Gminy Łańcut  na  zadanie  pn. „Zakup wyposażenia do sali budynku wielofunkcyjnego w miejscowości Kraczkowa do przeprowadzenia inicjatywy  "Uniwersytet Samorządności"" w kwocie 14.725,00 zł,
2) Gminy Żyraków na  zadanie pn. „Realizacja inicjatywy "Uniwersytet Samorządności" poprzez wyposażenie Sali szkoleniowej w Budynku Wielofunkcyjnym w Wiewiórce” w kwocie 15.000,00 zł,
3) Gminy Mielec na  zadanie pn. „Remont budynku Samorządowego Ośrodka Kultury i Sportu w Chorzelowie w celu dostosowania go do potrzeb realizacji zajęć i warsztatów w ramach koncepcji "Uniwersytet Samorządności"” w kwocie 15.000,00 zł,
4) Gminy Markowa  na zadanie pn. „Zakup i montaż tablic informacyjnych o historii miejscowości Tarnawka, tablic ogłoszeniowych wraz z elementami małej architektury” w kwocie 12.000,00 zł, 
5) Gminy Łańcut na  zadanie pn. „Poprawa stanu technicznego budynku Ośrodka Kultury w miejscowości Handzlówka poprzez remont pomieszczeń” w kwocie 12.000,00 zł.</t>
  </si>
  <si>
    <t>Wpływy ze sprzedaży drewna pochodzącego z wycinki drzew</t>
  </si>
  <si>
    <t>Dotacje celowe na pomoc finansową dla gmin w ramach „Podkarpackiego Programu Odnowy Wsi na lata 2021-2025", w tym dla:
1) Gminy  Czarna na zadanie  pn. „Wyposażenie Świetlicy Wiejskiej w miejscowości Polana w ramach inicjatywy "Uniwersytet Samorządności"” w kwocie 15.000,- zł,
2) Gminy Kolbuszowa  na  zadanie  pn.: „Wyposażenie Sali widowiskowej Miejskiego Domu Kultury w Kolbuszowej - filia w Kolbuszowej Górnej w infrastrukturę techniczną w celu stworzenia warunków umożliwiających działalność w ramach koncepcji "Uniwersytet Samorządności"” w kwocie 15.000,- zł,
3) Gminy Lesko na zadanie pn. „Zagospodarowanie wiaty rekreacyjnej w miejscowości Bezmiechowa Górna” w kwocie 12.000,- zł,
4)  Gminy Czarna na zadanie pn. „Przygotowanie miejsca do spędzania casu w przestrzeni wokół świetlicy wiejskiej w Czarnej Dolnej - etap I- wykonanie ogrodzenia i ogródka kieszonkowego” w kwocie 12.000,- zł,
5)  Gminy Sędziszów Małopolski na zadanie pn. „Utworzenie miejsca spotkań i integracji dla Koła Gospodyń Wiejskich w Cierpiszu oraz innych stowarzyszeń poprzez adaptację na pomieszczenia kuchenne w budynku Domu Ludowego” w kwocie 12.000,- zł,
6)  Gminy Frysztak na zadanie pn. „Modernizacja Sali w domu wiejskim” w kwocie 12.000,- zł,
7)  Gminy Horyniec-Zdrój na zadanie pn. „Integracja i aktywizacja społeczności sołectwa Nowiny Horynieckie poprzez stworzenie miejsca spotkań służącego zaspokajaniu potrzeb społecznych i kulturalnych - etap I - studnia głębinowa oraz bezodpływowy zbiornik ścieków przy Świetlicy Wiejskiej” w kwocie 12.000,- zł,
8)  Gminy Dębowiec na zadanie pn. „Prace budowlane w domu ludowym wraz z zagospodarowaniem terenu wokół domu ludowego celem zaspokojenia potrzeb społecznych mieszkańców Zarzecza (etap I)” w kwocie 12.000,- zł
9)  Gminy Solina na  zadanie pn. „Utworzenie siłowni wewnętrznej w świetlicy wiejskiej w Bóbrce” w kwocie 12.000,- zł
10)  Gminy Tarnowiec na zadanie pn. „Modernizacja Domu Ludowego w Roztokach wraz z otoczeniem i wyposażeniem” w kwocie 12.000,- zł.</t>
  </si>
  <si>
    <t>Zestawienie wykonania planu dotacji udzielonych innym jednostkom samorządu terytorialnego i ich związkom
na dofinansowanie własnych zadań bieżących oraz zadań inwestycyjnych i zakupów inwestycyjnych</t>
  </si>
  <si>
    <t>Dotacje celowe na pomoc finansową dla gmin w ramach „Podkarpackiego Programu Odnowy Wsi na lata 2021-2025”, w tym dla:
1) Gminy Bircza na zadanie pn. „Stworzenie warunków do aktywnego wypoczynku poprzez zakup i montaż urządzeń placu zabaw w sołectwie Rudawka” w kwocie 12.000,00 zł,
2) 	Gminy Grodzisko Dolne na zadanie pn. „Zagospodarowanie terenu przy rondzie w Grodzisku Górnym poprzez zasadzenie roślinności 
i zamontowanie urządzeń małej architektury” w kwocie 12.000,00 zł,
3) 	Miasta i Gminy Dubiecko na zadanie pn. „Remont remizy OSP 
w Drohobyczce etap – remont kuchni i pomieszczeń pomocniczych na parterze wraz z wyposażeniem” w kwocie 12.000,00 zł,
4) 	Gminy Laszki na zadanie pn. „Zakup urządzeń placu zabaw oraz siłowni zewnętrznej w miejscowości Tuchla” w kwocie 11.220,00 zł,
5) 	Gminy Przeworsk na zadanie pn. „Roboty remontowe na obiekcie WDK 
w Gorliczynie” w kwocie 12.000,00 zł,
6) 	Gminy Przemyśl na zadanie pn. „Budowa placu zabaw wraz z siłownią zewnętrzną na terenie działki 298/2 i 299/1 – etap I poprzez budowę ogrodzenia oraz zakup wyposażenia placu zabaw” w kwocie 12.000,00 zł,
7) 	Gminy Fredropol na zadanie pn. „Adaptacja pomieszczeń na potrzeby świetlicy wiejskiej w Kupiatyczach” w kwocie 11.181,00 zł,
8) 	Gminy Żurawica na zadanie pn. „Remont i wyposażenie budynku Agromówki” w kwocie 12.000,00 zł,
9) 	Gminy Jarosław na zadanie pn. „Zagospodarowanie terenu w centrum wsi na cele rekreacyjno-wypoczynkowe” w kwocie 12.000,00 zł,
10) 	Gminy Stubno na zadanie pn. „Poprawa estetyki publicznej w sołectwie Stubno poprzez zagospodarowanie miejsca do biesiadowania i grillowania oraz nasadzanie ozdobnych krzewów” w kwocie 12.000,00 zł,
11) 	Gminy Krasiczyn na zadanie pn. „Wyposażenie zaplecza kuchennego w świetlicy wiejskiej w Śliwnicy” w kwocie 9.895,00 zł,
12) 	Gminy Rokietnica na zadanie pn. „Doposażenie Świetlicy Wiejskiej w Rokietnicy na potrzeby koncepcji „Uniwersytet Samorządności” w kwocie 15.000,00 zł,
13) 	Miasta i Gminy Kańczuga na zadanie pn. „Remont i dostawa wyposażenia Sali szkoleniowej w Domu Ludowym w Niżatycach w ramach inicjatywy „Uniwersytet Samorządności” w kwocie 15.000,00 zł.</t>
  </si>
  <si>
    <t xml:space="preserve">Dotacja celowa na pomoc finansową dla Gminy Jawornik Polski na zadanie pn. „Utworzenie punktu widokowego”  w ramach „Podkarpackiego Programu Odnowy Wsi na lata 2021-2025”. Wydatki nie zostały zrealizowane.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</si>
</sst>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Arial"/>
      <family val="2"/>
      <charset val="238"/>
    </font>
    <font>
      <b/>
      <sz val="11"/>
      <name val="Arial CE"/>
      <charset val="238"/>
    </font>
    <font>
      <i/>
      <sz val="10"/>
      <name val="Arial CE"/>
      <charset val="238"/>
    </font>
    <font>
      <sz val="11"/>
      <color rgb="FFFF0000"/>
      <name val="Arial"/>
      <family val="2"/>
      <charset val="238"/>
    </font>
    <font>
      <sz val="11"/>
      <color rgb="FFFF0000"/>
      <name val="Arial CE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sz val="11"/>
      <color theme="1"/>
      <name val="Czcionka tekstu podstawowego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 CE"/>
      <charset val="238"/>
    </font>
    <font>
      <b/>
      <i/>
      <sz val="11"/>
      <color rgb="FFFF0000"/>
      <name val="Arial"/>
      <family val="2"/>
      <charset val="238"/>
    </font>
    <font>
      <sz val="10"/>
      <color theme="1"/>
      <name val="Arial CE"/>
      <charset val="238"/>
    </font>
    <font>
      <b/>
      <i/>
      <sz val="14"/>
      <name val="Arial"/>
      <family val="2"/>
      <charset val="238"/>
    </font>
    <font>
      <b/>
      <i/>
      <sz val="10"/>
      <name val="Arial CE"/>
      <charset val="238"/>
    </font>
    <font>
      <b/>
      <sz val="10"/>
      <color theme="1"/>
      <name val="Arial CE"/>
      <charset val="238"/>
    </font>
    <font>
      <sz val="11"/>
      <name val="Arial "/>
      <charset val="238"/>
    </font>
    <font>
      <b/>
      <i/>
      <sz val="11"/>
      <color rgb="FFFF0000"/>
      <name val="Arial CE"/>
      <charset val="238"/>
    </font>
    <font>
      <i/>
      <sz val="10"/>
      <color rgb="FFFF0000"/>
      <name val="Arial CE"/>
      <charset val="238"/>
    </font>
    <font>
      <i/>
      <sz val="11"/>
      <color rgb="FFFF0000"/>
      <name val="Arial"/>
      <family val="2"/>
      <charset val="238"/>
    </font>
    <font>
      <i/>
      <sz val="11"/>
      <color rgb="FFFF0000"/>
      <name val="Arial CE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 CE"/>
      <charset val="238"/>
    </font>
    <font>
      <i/>
      <sz val="11"/>
      <color theme="1"/>
      <name val="Arial CE"/>
      <charset val="238"/>
    </font>
    <font>
      <sz val="11"/>
      <color theme="1"/>
      <name val="Arial CE"/>
      <charset val="238"/>
    </font>
    <font>
      <i/>
      <sz val="10"/>
      <color theme="1"/>
      <name val="Arial CE"/>
      <charset val="238"/>
    </font>
    <font>
      <sz val="11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Times New Roman CE"/>
      <family val="1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i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b/>
      <i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scheme val="minor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u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u/>
      <sz val="10"/>
      <name val="Arial"/>
      <family val="2"/>
      <charset val="238"/>
    </font>
    <font>
      <i/>
      <sz val="11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FF66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0"/>
      </patternFill>
    </fill>
  </fills>
  <borders count="13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0" fillId="0" borderId="0"/>
    <xf numFmtId="0" fontId="52" fillId="0" borderId="0"/>
    <xf numFmtId="0" fontId="2" fillId="0" borderId="0"/>
    <xf numFmtId="0" fontId="52" fillId="0" borderId="0"/>
    <xf numFmtId="0" fontId="1" fillId="0" borderId="0"/>
    <xf numFmtId="0" fontId="87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</cellStyleXfs>
  <cellXfs count="5379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2" fillId="0" borderId="0" xfId="1"/>
    <xf numFmtId="0" fontId="5" fillId="0" borderId="0" xfId="1" applyFont="1" applyAlignment="1">
      <alignment horizontal="center" vertical="center" wrapText="1"/>
    </xf>
    <xf numFmtId="0" fontId="2" fillId="4" borderId="0" xfId="1" applyFill="1"/>
    <xf numFmtId="0" fontId="9" fillId="0" borderId="0" xfId="1" applyFont="1"/>
    <xf numFmtId="3" fontId="2" fillId="0" borderId="0" xfId="1" applyNumberFormat="1" applyAlignment="1">
      <alignment horizontal="center"/>
    </xf>
    <xf numFmtId="3" fontId="9" fillId="0" borderId="0" xfId="1" applyNumberFormat="1" applyFont="1"/>
    <xf numFmtId="49" fontId="10" fillId="4" borderId="0" xfId="1" applyNumberFormat="1" applyFont="1" applyFill="1" applyAlignment="1">
      <alignment horizontal="center" vertical="center"/>
    </xf>
    <xf numFmtId="49" fontId="12" fillId="4" borderId="26" xfId="1" applyNumberFormat="1" applyFont="1" applyFill="1" applyBorder="1" applyAlignment="1">
      <alignment horizontal="center" vertical="center"/>
    </xf>
    <xf numFmtId="0" fontId="13" fillId="0" borderId="0" xfId="1" applyFont="1"/>
    <xf numFmtId="49" fontId="10" fillId="4" borderId="9" xfId="1" applyNumberFormat="1" applyFont="1" applyFill="1" applyBorder="1" applyAlignment="1">
      <alignment vertical="center"/>
    </xf>
    <xf numFmtId="0" fontId="9" fillId="4" borderId="0" xfId="1" applyFont="1" applyFill="1"/>
    <xf numFmtId="0" fontId="5" fillId="2" borderId="5" xfId="1" applyFont="1" applyFill="1" applyBorder="1" applyAlignment="1">
      <alignment horizontal="center" vertical="center"/>
    </xf>
    <xf numFmtId="49" fontId="14" fillId="7" borderId="2" xfId="1" applyNumberFormat="1" applyFont="1" applyFill="1" applyBorder="1" applyAlignment="1">
      <alignment horizontal="center" vertical="center"/>
    </xf>
    <xf numFmtId="49" fontId="14" fillId="7" borderId="8" xfId="1" applyNumberFormat="1" applyFont="1" applyFill="1" applyBorder="1" applyAlignment="1">
      <alignment horizontal="left" vertical="center" wrapText="1"/>
    </xf>
    <xf numFmtId="49" fontId="14" fillId="7" borderId="8" xfId="1" applyNumberFormat="1" applyFont="1" applyFill="1" applyBorder="1" applyAlignment="1">
      <alignment horizontal="center" vertical="center"/>
    </xf>
    <xf numFmtId="3" fontId="15" fillId="7" borderId="8" xfId="1" applyNumberFormat="1" applyFont="1" applyFill="1" applyBorder="1" applyAlignment="1">
      <alignment horizontal="right" vertical="center"/>
    </xf>
    <xf numFmtId="0" fontId="14" fillId="7" borderId="8" xfId="1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>
      <alignment horizontal="right" vertical="center"/>
    </xf>
    <xf numFmtId="0" fontId="12" fillId="0" borderId="13" xfId="2" applyFont="1" applyBorder="1" applyAlignment="1">
      <alignment vertical="center" wrapText="1"/>
    </xf>
    <xf numFmtId="49" fontId="10" fillId="4" borderId="3" xfId="1" applyNumberFormat="1" applyFont="1" applyFill="1" applyBorder="1" applyAlignment="1">
      <alignment vertical="center" wrapText="1"/>
    </xf>
    <xf numFmtId="3" fontId="14" fillId="7" borderId="8" xfId="1" applyNumberFormat="1" applyFont="1" applyFill="1" applyBorder="1" applyAlignment="1">
      <alignment horizontal="right" vertical="center" wrapText="1"/>
    </xf>
    <xf numFmtId="49" fontId="10" fillId="4" borderId="1" xfId="1" applyNumberFormat="1" applyFont="1" applyFill="1" applyBorder="1" applyAlignment="1">
      <alignment horizontal="center" vertical="center"/>
    </xf>
    <xf numFmtId="0" fontId="18" fillId="0" borderId="0" xfId="3" applyFont="1"/>
    <xf numFmtId="0" fontId="6" fillId="0" borderId="0" xfId="1" applyFont="1"/>
    <xf numFmtId="3" fontId="3" fillId="0" borderId="0" xfId="1" applyNumberFormat="1" applyFont="1"/>
    <xf numFmtId="0" fontId="21" fillId="0" borderId="0" xfId="1" applyFont="1"/>
    <xf numFmtId="49" fontId="17" fillId="4" borderId="9" xfId="1" applyNumberFormat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left" vertical="center" wrapText="1"/>
    </xf>
    <xf numFmtId="0" fontId="24" fillId="0" borderId="0" xfId="1" applyFont="1"/>
    <xf numFmtId="3" fontId="3" fillId="0" borderId="1" xfId="1" applyNumberFormat="1" applyFont="1" applyBorder="1" applyAlignment="1">
      <alignment horizontal="right" vertical="center"/>
    </xf>
    <xf numFmtId="0" fontId="12" fillId="7" borderId="12" xfId="1" applyFont="1" applyFill="1" applyBorder="1" applyAlignment="1">
      <alignment horizontal="left" vertical="center" wrapText="1"/>
    </xf>
    <xf numFmtId="0" fontId="12" fillId="4" borderId="12" xfId="1" applyFont="1" applyFill="1" applyBorder="1" applyAlignment="1">
      <alignment horizontal="left" vertical="center" wrapText="1"/>
    </xf>
    <xf numFmtId="49" fontId="5" fillId="7" borderId="13" xfId="1" applyNumberFormat="1" applyFont="1" applyFill="1" applyBorder="1" applyAlignment="1">
      <alignment horizontal="center" vertical="center"/>
    </xf>
    <xf numFmtId="3" fontId="8" fillId="7" borderId="1" xfId="1" applyNumberFormat="1" applyFont="1" applyFill="1" applyBorder="1" applyAlignment="1">
      <alignment horizontal="right" vertical="center"/>
    </xf>
    <xf numFmtId="0" fontId="19" fillId="0" borderId="0" xfId="1" applyFont="1"/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3" fillId="6" borderId="0" xfId="1" applyFont="1" applyFill="1"/>
    <xf numFmtId="0" fontId="23" fillId="0" borderId="0" xfId="1" applyFont="1"/>
    <xf numFmtId="3" fontId="21" fillId="0" borderId="0" xfId="1" applyNumberFormat="1" applyFont="1"/>
    <xf numFmtId="49" fontId="20" fillId="7" borderId="2" xfId="1" applyNumberFormat="1" applyFont="1" applyFill="1" applyBorder="1" applyAlignment="1">
      <alignment horizontal="center" vertical="center"/>
    </xf>
    <xf numFmtId="49" fontId="20" fillId="7" borderId="8" xfId="1" applyNumberFormat="1" applyFont="1" applyFill="1" applyBorder="1" applyAlignment="1">
      <alignment horizontal="left" vertical="center" wrapText="1"/>
    </xf>
    <xf numFmtId="49" fontId="20" fillId="7" borderId="8" xfId="1" applyNumberFormat="1" applyFont="1" applyFill="1" applyBorder="1" applyAlignment="1">
      <alignment horizontal="center" vertical="center"/>
    </xf>
    <xf numFmtId="0" fontId="20" fillId="7" borderId="8" xfId="1" applyFont="1" applyFill="1" applyBorder="1" applyAlignment="1">
      <alignment horizontal="left" vertical="center" wrapText="1"/>
    </xf>
    <xf numFmtId="0" fontId="27" fillId="0" borderId="0" xfId="1" applyFont="1"/>
    <xf numFmtId="3" fontId="10" fillId="4" borderId="1" xfId="1" applyNumberFormat="1" applyFont="1" applyFill="1" applyBorder="1" applyAlignment="1">
      <alignment horizontal="right" vertical="center" wrapText="1"/>
    </xf>
    <xf numFmtId="3" fontId="11" fillId="4" borderId="1" xfId="1" applyNumberFormat="1" applyFont="1" applyFill="1" applyBorder="1" applyAlignment="1">
      <alignment horizontal="right" vertical="center"/>
    </xf>
    <xf numFmtId="3" fontId="20" fillId="7" borderId="8" xfId="1" applyNumberFormat="1" applyFont="1" applyFill="1" applyBorder="1" applyAlignment="1">
      <alignment horizontal="right" vertical="center" wrapText="1"/>
    </xf>
    <xf numFmtId="3" fontId="26" fillId="7" borderId="5" xfId="1" applyNumberFormat="1" applyFont="1" applyFill="1" applyBorder="1" applyAlignment="1">
      <alignment horizontal="right" vertical="center"/>
    </xf>
    <xf numFmtId="49" fontId="10" fillId="4" borderId="9" xfId="1" applyNumberFormat="1" applyFont="1" applyFill="1" applyBorder="1" applyAlignment="1">
      <alignment horizontal="left" vertical="center" wrapText="1"/>
    </xf>
    <xf numFmtId="3" fontId="10" fillId="4" borderId="0" xfId="1" applyNumberFormat="1" applyFont="1" applyFill="1" applyAlignment="1">
      <alignment horizontal="right" vertical="center" wrapText="1"/>
    </xf>
    <xf numFmtId="0" fontId="10" fillId="4" borderId="9" xfId="1" applyFont="1" applyFill="1" applyBorder="1" applyAlignment="1">
      <alignment horizontal="left" vertical="center" wrapText="1"/>
    </xf>
    <xf numFmtId="0" fontId="27" fillId="4" borderId="0" xfId="1" applyFont="1" applyFill="1"/>
    <xf numFmtId="49" fontId="10" fillId="4" borderId="13" xfId="1" applyNumberFormat="1" applyFont="1" applyFill="1" applyBorder="1" applyAlignment="1">
      <alignment horizontal="left" vertical="center" wrapText="1"/>
    </xf>
    <xf numFmtId="0" fontId="10" fillId="4" borderId="13" xfId="1" applyFont="1" applyFill="1" applyBorder="1" applyAlignment="1">
      <alignment horizontal="left" vertical="center" wrapText="1"/>
    </xf>
    <xf numFmtId="0" fontId="6" fillId="4" borderId="0" xfId="1" applyFont="1" applyFill="1"/>
    <xf numFmtId="49" fontId="7" fillId="0" borderId="9" xfId="1" applyNumberFormat="1" applyFont="1" applyBorder="1" applyAlignment="1">
      <alignment vertical="center"/>
    </xf>
    <xf numFmtId="0" fontId="10" fillId="7" borderId="12" xfId="1" applyFont="1" applyFill="1" applyBorder="1" applyAlignment="1">
      <alignment horizontal="left" vertical="center" wrapText="1"/>
    </xf>
    <xf numFmtId="49" fontId="7" fillId="7" borderId="13" xfId="1" applyNumberFormat="1" applyFont="1" applyFill="1" applyBorder="1" applyAlignment="1">
      <alignment horizontal="center" vertical="center"/>
    </xf>
    <xf numFmtId="0" fontId="7" fillId="7" borderId="12" xfId="1" applyFont="1" applyFill="1" applyBorder="1" applyAlignment="1">
      <alignment horizontal="left"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/>
    </xf>
    <xf numFmtId="49" fontId="7" fillId="0" borderId="13" xfId="1" applyNumberFormat="1" applyFont="1" applyBorder="1" applyAlignment="1">
      <alignment vertical="top"/>
    </xf>
    <xf numFmtId="49" fontId="28" fillId="4" borderId="13" xfId="1" applyNumberFormat="1" applyFont="1" applyFill="1" applyBorder="1" applyAlignment="1">
      <alignment vertical="center"/>
    </xf>
    <xf numFmtId="49" fontId="28" fillId="4" borderId="13" xfId="1" applyNumberFormat="1" applyFont="1" applyFill="1" applyBorder="1" applyAlignment="1">
      <alignment vertical="center" wrapText="1"/>
    </xf>
    <xf numFmtId="49" fontId="7" fillId="6" borderId="8" xfId="1" applyNumberFormat="1" applyFont="1" applyFill="1" applyBorder="1" applyAlignment="1">
      <alignment horizontal="center" vertical="center"/>
    </xf>
    <xf numFmtId="3" fontId="7" fillId="6" borderId="5" xfId="1" applyNumberFormat="1" applyFont="1" applyFill="1" applyBorder="1" applyAlignment="1">
      <alignment horizontal="right" vertical="center" wrapText="1"/>
    </xf>
    <xf numFmtId="49" fontId="7" fillId="7" borderId="1" xfId="1" applyNumberFormat="1" applyFont="1" applyFill="1" applyBorder="1" applyAlignment="1">
      <alignment horizontal="left" vertical="center" wrapText="1"/>
    </xf>
    <xf numFmtId="3" fontId="7" fillId="7" borderId="1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3" fontId="10" fillId="0" borderId="1" xfId="1" applyNumberFormat="1" applyFont="1" applyBorder="1" applyAlignment="1">
      <alignment horizontal="right" vertical="center" wrapText="1"/>
    </xf>
    <xf numFmtId="49" fontId="20" fillId="7" borderId="13" xfId="1" applyNumberFormat="1" applyFont="1" applyFill="1" applyBorder="1" applyAlignment="1">
      <alignment horizontal="center" vertical="center"/>
    </xf>
    <xf numFmtId="49" fontId="20" fillId="7" borderId="1" xfId="1" applyNumberFormat="1" applyFont="1" applyFill="1" applyBorder="1" applyAlignment="1">
      <alignment horizontal="left" vertical="center" wrapText="1"/>
    </xf>
    <xf numFmtId="3" fontId="26" fillId="7" borderId="1" xfId="1" applyNumberFormat="1" applyFont="1" applyFill="1" applyBorder="1" applyAlignment="1">
      <alignment horizontal="right" vertical="center"/>
    </xf>
    <xf numFmtId="49" fontId="10" fillId="4" borderId="1" xfId="1" applyNumberFormat="1" applyFont="1" applyFill="1" applyBorder="1" applyAlignment="1">
      <alignment horizontal="left" vertical="center" wrapText="1"/>
    </xf>
    <xf numFmtId="49" fontId="20" fillId="7" borderId="13" xfId="1" applyNumberFormat="1" applyFont="1" applyFill="1" applyBorder="1" applyAlignment="1">
      <alignment horizontal="left" vertical="center" wrapText="1"/>
    </xf>
    <xf numFmtId="0" fontId="26" fillId="7" borderId="1" xfId="1" applyFont="1" applyFill="1" applyBorder="1" applyAlignment="1">
      <alignment vertical="center" wrapText="1"/>
    </xf>
    <xf numFmtId="0" fontId="20" fillId="7" borderId="12" xfId="3" applyFont="1" applyFill="1" applyBorder="1" applyAlignment="1">
      <alignment horizontal="left" vertical="center" wrapText="1"/>
    </xf>
    <xf numFmtId="49" fontId="28" fillId="0" borderId="13" xfId="1" applyNumberFormat="1" applyFont="1" applyBorder="1" applyAlignment="1">
      <alignment horizontal="center" vertical="center"/>
    </xf>
    <xf numFmtId="0" fontId="29" fillId="4" borderId="1" xfId="1" applyFont="1" applyFill="1" applyBorder="1" applyAlignment="1">
      <alignment vertical="center" wrapText="1"/>
    </xf>
    <xf numFmtId="4" fontId="10" fillId="4" borderId="1" xfId="1" applyNumberFormat="1" applyFont="1" applyFill="1" applyBorder="1" applyAlignment="1">
      <alignment horizontal="right" vertical="center" wrapText="1"/>
    </xf>
    <xf numFmtId="4" fontId="20" fillId="7" borderId="5" xfId="1" applyNumberFormat="1" applyFont="1" applyFill="1" applyBorder="1" applyAlignment="1">
      <alignment horizontal="right" vertical="center" wrapText="1"/>
    </xf>
    <xf numFmtId="4" fontId="10" fillId="4" borderId="0" xfId="1" applyNumberFormat="1" applyFont="1" applyFill="1" applyAlignment="1">
      <alignment horizontal="right" vertical="center" wrapText="1"/>
    </xf>
    <xf numFmtId="4" fontId="20" fillId="7" borderId="8" xfId="1" applyNumberFormat="1" applyFont="1" applyFill="1" applyBorder="1" applyAlignment="1">
      <alignment horizontal="right" vertical="center" wrapText="1"/>
    </xf>
    <xf numFmtId="4" fontId="20" fillId="7" borderId="8" xfId="1" applyNumberFormat="1" applyFont="1" applyFill="1" applyBorder="1" applyAlignment="1">
      <alignment horizontal="right" vertical="center"/>
    </xf>
    <xf numFmtId="4" fontId="15" fillId="7" borderId="8" xfId="1" applyNumberFormat="1" applyFont="1" applyFill="1" applyBorder="1" applyAlignment="1">
      <alignment horizontal="right" vertical="center"/>
    </xf>
    <xf numFmtId="4" fontId="12" fillId="4" borderId="1" xfId="1" applyNumberFormat="1" applyFont="1" applyFill="1" applyBorder="1" applyAlignment="1">
      <alignment horizontal="right" vertical="center" wrapText="1"/>
    </xf>
    <xf numFmtId="4" fontId="15" fillId="7" borderId="2" xfId="1" applyNumberFormat="1" applyFont="1" applyFill="1" applyBorder="1" applyAlignment="1">
      <alignment horizontal="right" vertical="center"/>
    </xf>
    <xf numFmtId="4" fontId="12" fillId="4" borderId="13" xfId="1" applyNumberFormat="1" applyFont="1" applyFill="1" applyBorder="1" applyAlignment="1">
      <alignment vertical="center"/>
    </xf>
    <xf numFmtId="4" fontId="10" fillId="4" borderId="8" xfId="1" applyNumberFormat="1" applyFont="1" applyFill="1" applyBorder="1" applyAlignment="1">
      <alignment horizontal="right" vertical="center"/>
    </xf>
    <xf numFmtId="4" fontId="20" fillId="7" borderId="8" xfId="1" applyNumberFormat="1" applyFont="1" applyFill="1" applyBorder="1" applyAlignment="1">
      <alignment vertical="center"/>
    </xf>
    <xf numFmtId="4" fontId="20" fillId="7" borderId="5" xfId="1" applyNumberFormat="1" applyFont="1" applyFill="1" applyBorder="1" applyAlignment="1">
      <alignment horizontal="right" vertical="center"/>
    </xf>
    <xf numFmtId="4" fontId="10" fillId="4" borderId="1" xfId="1" applyNumberFormat="1" applyFont="1" applyFill="1" applyBorder="1" applyAlignment="1">
      <alignment horizontal="right" vertical="center"/>
    </xf>
    <xf numFmtId="4" fontId="10" fillId="4" borderId="0" xfId="1" applyNumberFormat="1" applyFont="1" applyFill="1" applyAlignment="1">
      <alignment horizontal="right" vertical="center"/>
    </xf>
    <xf numFmtId="4" fontId="10" fillId="4" borderId="9" xfId="1" applyNumberFormat="1" applyFont="1" applyFill="1" applyBorder="1" applyAlignment="1">
      <alignment horizontal="right" vertical="center"/>
    </xf>
    <xf numFmtId="4" fontId="20" fillId="7" borderId="2" xfId="1" applyNumberFormat="1" applyFont="1" applyFill="1" applyBorder="1" applyAlignment="1">
      <alignment horizontal="right" vertical="center" wrapText="1"/>
    </xf>
    <xf numFmtId="4" fontId="10" fillId="4" borderId="13" xfId="1" applyNumberFormat="1" applyFont="1" applyFill="1" applyBorder="1" applyAlignment="1">
      <alignment horizontal="right" vertical="center" wrapText="1"/>
    </xf>
    <xf numFmtId="4" fontId="12" fillId="4" borderId="0" xfId="1" applyNumberFormat="1" applyFont="1" applyFill="1" applyBorder="1" applyAlignment="1">
      <alignment horizontal="right" vertical="center" wrapText="1"/>
    </xf>
    <xf numFmtId="4" fontId="12" fillId="4" borderId="9" xfId="1" applyNumberFormat="1" applyFont="1" applyFill="1" applyBorder="1" applyAlignment="1">
      <alignment horizontal="right" vertical="center"/>
    </xf>
    <xf numFmtId="0" fontId="12" fillId="0" borderId="9" xfId="2" applyFont="1" applyBorder="1" applyAlignment="1">
      <alignment vertical="center" wrapText="1"/>
    </xf>
    <xf numFmtId="4" fontId="12" fillId="4" borderId="8" xfId="1" applyNumberFormat="1" applyFont="1" applyFill="1" applyBorder="1" applyAlignment="1">
      <alignment horizontal="right" vertical="center" wrapText="1"/>
    </xf>
    <xf numFmtId="4" fontId="10" fillId="4" borderId="13" xfId="1" applyNumberFormat="1" applyFont="1" applyFill="1" applyBorder="1" applyAlignment="1">
      <alignment vertical="center"/>
    </xf>
    <xf numFmtId="0" fontId="14" fillId="0" borderId="0" xfId="1" applyFont="1" applyAlignment="1">
      <alignment horizontal="center" vertical="center" wrapText="1"/>
    </xf>
    <xf numFmtId="4" fontId="7" fillId="6" borderId="8" xfId="1" applyNumberFormat="1" applyFont="1" applyFill="1" applyBorder="1" applyAlignment="1">
      <alignment horizontal="right" vertical="center" wrapText="1"/>
    </xf>
    <xf numFmtId="4" fontId="7" fillId="6" borderId="5" xfId="1" applyNumberFormat="1" applyFont="1" applyFill="1" applyBorder="1" applyAlignment="1">
      <alignment horizontal="right" vertical="center" wrapText="1"/>
    </xf>
    <xf numFmtId="4" fontId="7" fillId="7" borderId="13" xfId="1" applyNumberFormat="1" applyFont="1" applyFill="1" applyBorder="1" applyAlignment="1">
      <alignment horizontal="right" vertical="center" wrapText="1"/>
    </xf>
    <xf numFmtId="4" fontId="7" fillId="7" borderId="1" xfId="1" applyNumberFormat="1" applyFont="1" applyFill="1" applyBorder="1" applyAlignment="1">
      <alignment horizontal="right" vertical="center" wrapText="1"/>
    </xf>
    <xf numFmtId="4" fontId="10" fillId="0" borderId="13" xfId="1" applyNumberFormat="1" applyFont="1" applyBorder="1" applyAlignment="1">
      <alignment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3" xfId="1" applyNumberFormat="1" applyFont="1" applyBorder="1" applyAlignment="1">
      <alignment horizontal="right" vertical="center"/>
    </xf>
    <xf numFmtId="4" fontId="10" fillId="0" borderId="13" xfId="1" applyNumberFormat="1" applyFont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26" fillId="7" borderId="13" xfId="1" applyNumberFormat="1" applyFont="1" applyFill="1" applyBorder="1" applyAlignment="1">
      <alignment horizontal="right" vertical="center"/>
    </xf>
    <xf numFmtId="4" fontId="20" fillId="7" borderId="13" xfId="1" applyNumberFormat="1" applyFont="1" applyFill="1" applyBorder="1" applyAlignment="1">
      <alignment horizontal="right" vertical="center" wrapText="1"/>
    </xf>
    <xf numFmtId="4" fontId="20" fillId="7" borderId="1" xfId="1" applyNumberFormat="1" applyFont="1" applyFill="1" applyBorder="1" applyAlignment="1">
      <alignment horizontal="right" vertical="center" wrapText="1"/>
    </xf>
    <xf numFmtId="4" fontId="12" fillId="4" borderId="9" xfId="1" applyNumberFormat="1" applyFont="1" applyFill="1" applyBorder="1" applyAlignment="1">
      <alignment vertical="center"/>
    </xf>
    <xf numFmtId="4" fontId="3" fillId="0" borderId="26" xfId="1" applyNumberFormat="1" applyFont="1" applyBorder="1" applyAlignment="1">
      <alignment horizontal="right" vertical="center"/>
    </xf>
    <xf numFmtId="4" fontId="12" fillId="4" borderId="1" xfId="1" applyNumberFormat="1" applyFont="1" applyFill="1" applyBorder="1" applyAlignment="1">
      <alignment vertical="center"/>
    </xf>
    <xf numFmtId="4" fontId="12" fillId="4" borderId="26" xfId="1" applyNumberFormat="1" applyFont="1" applyFill="1" applyBorder="1" applyAlignment="1">
      <alignment vertical="center"/>
    </xf>
    <xf numFmtId="4" fontId="8" fillId="7" borderId="13" xfId="1" applyNumberFormat="1" applyFont="1" applyFill="1" applyBorder="1" applyAlignment="1">
      <alignment horizontal="right" vertical="center"/>
    </xf>
    <xf numFmtId="4" fontId="8" fillId="7" borderId="1" xfId="1" applyNumberFormat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>
      <alignment vertical="top"/>
    </xf>
    <xf numFmtId="0" fontId="2" fillId="0" borderId="0" xfId="1" applyFill="1"/>
    <xf numFmtId="0" fontId="14" fillId="0" borderId="0" xfId="1" applyFont="1" applyFill="1" applyAlignment="1">
      <alignment vertical="center"/>
    </xf>
    <xf numFmtId="0" fontId="21" fillId="4" borderId="0" xfId="1" applyFont="1" applyFill="1"/>
    <xf numFmtId="0" fontId="31" fillId="7" borderId="8" xfId="1" applyFont="1" applyFill="1" applyBorder="1" applyAlignment="1">
      <alignment horizontal="center" vertical="center"/>
    </xf>
    <xf numFmtId="4" fontId="31" fillId="7" borderId="8" xfId="1" applyNumberFormat="1" applyFont="1" applyFill="1" applyBorder="1" applyAlignment="1">
      <alignment horizontal="right" vertical="center" wrapText="1"/>
    </xf>
    <xf numFmtId="3" fontId="21" fillId="4" borderId="0" xfId="1" applyNumberFormat="1" applyFont="1" applyFill="1"/>
    <xf numFmtId="49" fontId="31" fillId="7" borderId="13" xfId="1" applyNumberFormat="1" applyFont="1" applyFill="1" applyBorder="1" applyAlignment="1">
      <alignment horizontal="center" vertical="center"/>
    </xf>
    <xf numFmtId="0" fontId="33" fillId="7" borderId="1" xfId="1" applyFont="1" applyFill="1" applyBorder="1" applyAlignment="1">
      <alignment vertical="center" wrapText="1"/>
    </xf>
    <xf numFmtId="4" fontId="31" fillId="7" borderId="13" xfId="1" applyNumberFormat="1" applyFont="1" applyFill="1" applyBorder="1" applyAlignment="1">
      <alignment vertical="center"/>
    </xf>
    <xf numFmtId="4" fontId="31" fillId="7" borderId="13" xfId="1" applyNumberFormat="1" applyFont="1" applyFill="1" applyBorder="1" applyAlignment="1">
      <alignment horizontal="right" vertical="center" wrapText="1"/>
    </xf>
    <xf numFmtId="0" fontId="31" fillId="7" borderId="12" xfId="3" applyFont="1" applyFill="1" applyBorder="1" applyAlignment="1">
      <alignment horizontal="left" vertical="center" wrapText="1"/>
    </xf>
    <xf numFmtId="49" fontId="30" fillId="0" borderId="13" xfId="1" applyNumberFormat="1" applyFont="1" applyBorder="1" applyAlignment="1">
      <alignment horizontal="center" vertical="center"/>
    </xf>
    <xf numFmtId="0" fontId="34" fillId="4" borderId="1" xfId="1" applyFont="1" applyFill="1" applyBorder="1" applyAlignment="1">
      <alignment vertical="center" wrapText="1"/>
    </xf>
    <xf numFmtId="4" fontId="18" fillId="4" borderId="13" xfId="1" applyNumberFormat="1" applyFont="1" applyFill="1" applyBorder="1" applyAlignment="1">
      <alignment vertical="center"/>
    </xf>
    <xf numFmtId="0" fontId="18" fillId="0" borderId="13" xfId="1" applyFont="1" applyBorder="1" applyAlignment="1">
      <alignment vertical="center"/>
    </xf>
    <xf numFmtId="0" fontId="32" fillId="0" borderId="13" xfId="1" applyFont="1" applyBorder="1" applyAlignment="1">
      <alignment vertical="center" wrapText="1"/>
    </xf>
    <xf numFmtId="3" fontId="33" fillId="7" borderId="1" xfId="1" applyNumberFormat="1" applyFont="1" applyFill="1" applyBorder="1" applyAlignment="1">
      <alignment horizontal="right" vertical="center"/>
    </xf>
    <xf numFmtId="3" fontId="35" fillId="4" borderId="1" xfId="1" applyNumberFormat="1" applyFont="1" applyFill="1" applyBorder="1" applyAlignment="1">
      <alignment horizontal="right" vertical="center"/>
    </xf>
    <xf numFmtId="49" fontId="18" fillId="4" borderId="8" xfId="1" applyNumberFormat="1" applyFont="1" applyFill="1" applyBorder="1" applyAlignment="1">
      <alignment vertical="center"/>
    </xf>
    <xf numFmtId="49" fontId="18" fillId="4" borderId="8" xfId="1" applyNumberFormat="1" applyFont="1" applyFill="1" applyBorder="1" applyAlignment="1">
      <alignment vertical="center" wrapText="1"/>
    </xf>
    <xf numFmtId="49" fontId="18" fillId="4" borderId="8" xfId="1" applyNumberFormat="1" applyFont="1" applyFill="1" applyBorder="1" applyAlignment="1">
      <alignment horizontal="center" vertical="center"/>
    </xf>
    <xf numFmtId="3" fontId="18" fillId="4" borderId="8" xfId="1" applyNumberFormat="1" applyFont="1" applyFill="1" applyBorder="1" applyAlignment="1">
      <alignment horizontal="right" vertical="center" wrapText="1"/>
    </xf>
    <xf numFmtId="4" fontId="18" fillId="4" borderId="5" xfId="1" applyNumberFormat="1" applyFont="1" applyFill="1" applyBorder="1" applyAlignment="1">
      <alignment horizontal="right" vertical="center" wrapText="1"/>
    </xf>
    <xf numFmtId="3" fontId="35" fillId="4" borderId="5" xfId="1" applyNumberFormat="1" applyFont="1" applyFill="1" applyBorder="1" applyAlignment="1">
      <alignment horizontal="right" vertical="center"/>
    </xf>
    <xf numFmtId="4" fontId="18" fillId="4" borderId="5" xfId="1" applyNumberFormat="1" applyFont="1" applyFill="1" applyBorder="1" applyAlignment="1">
      <alignment horizontal="right" vertical="center"/>
    </xf>
    <xf numFmtId="4" fontId="18" fillId="4" borderId="8" xfId="1" applyNumberFormat="1" applyFont="1" applyFill="1" applyBorder="1" applyAlignment="1">
      <alignment horizontal="right" vertical="center"/>
    </xf>
    <xf numFmtId="0" fontId="18" fillId="0" borderId="8" xfId="2" applyFont="1" applyBorder="1" applyAlignment="1">
      <alignment vertical="center" wrapText="1"/>
    </xf>
    <xf numFmtId="0" fontId="36" fillId="0" borderId="0" xfId="1" applyFont="1"/>
    <xf numFmtId="3" fontId="36" fillId="0" borderId="0" xfId="1" applyNumberFormat="1" applyFont="1"/>
    <xf numFmtId="49" fontId="31" fillId="7" borderId="8" xfId="1" applyNumberFormat="1" applyFont="1" applyFill="1" applyBorder="1" applyAlignment="1">
      <alignment horizontal="center" vertical="center"/>
    </xf>
    <xf numFmtId="49" fontId="31" fillId="7" borderId="3" xfId="1" applyNumberFormat="1" applyFont="1" applyFill="1" applyBorder="1" applyAlignment="1">
      <alignment horizontal="left" vertical="center" wrapText="1"/>
    </xf>
    <xf numFmtId="49" fontId="31" fillId="7" borderId="3" xfId="1" applyNumberFormat="1" applyFont="1" applyFill="1" applyBorder="1" applyAlignment="1">
      <alignment horizontal="center" vertical="center"/>
    </xf>
    <xf numFmtId="3" fontId="33" fillId="7" borderId="3" xfId="1" applyNumberFormat="1" applyFont="1" applyFill="1" applyBorder="1" applyAlignment="1">
      <alignment horizontal="right" vertical="center"/>
    </xf>
    <xf numFmtId="4" fontId="33" fillId="7" borderId="3" xfId="1" applyNumberFormat="1" applyFont="1" applyFill="1" applyBorder="1" applyAlignment="1">
      <alignment horizontal="right" vertical="center"/>
    </xf>
    <xf numFmtId="4" fontId="33" fillId="7" borderId="8" xfId="1" applyNumberFormat="1" applyFont="1" applyFill="1" applyBorder="1" applyAlignment="1">
      <alignment horizontal="right" vertical="center"/>
    </xf>
    <xf numFmtId="4" fontId="33" fillId="7" borderId="6" xfId="1" applyNumberFormat="1" applyFont="1" applyFill="1" applyBorder="1" applyAlignment="1">
      <alignment horizontal="right" vertical="center"/>
    </xf>
    <xf numFmtId="0" fontId="31" fillId="7" borderId="3" xfId="1" applyFont="1" applyFill="1" applyBorder="1" applyAlignment="1">
      <alignment horizontal="left" vertical="center" wrapText="1"/>
    </xf>
    <xf numFmtId="49" fontId="31" fillId="7" borderId="2" xfId="1" applyNumberFormat="1" applyFont="1" applyFill="1" applyBorder="1" applyAlignment="1">
      <alignment horizontal="center" vertical="center"/>
    </xf>
    <xf numFmtId="0" fontId="31" fillId="7" borderId="8" xfId="1" applyFont="1" applyFill="1" applyBorder="1" applyAlignment="1">
      <alignment vertical="center" wrapText="1"/>
    </xf>
    <xf numFmtId="3" fontId="31" fillId="7" borderId="8" xfId="1" applyNumberFormat="1" applyFont="1" applyFill="1" applyBorder="1" applyAlignment="1">
      <alignment horizontal="right" vertical="center"/>
    </xf>
    <xf numFmtId="4" fontId="31" fillId="7" borderId="8" xfId="1" applyNumberFormat="1" applyFont="1" applyFill="1" applyBorder="1" applyAlignment="1">
      <alignment horizontal="right" vertical="center"/>
    </xf>
    <xf numFmtId="4" fontId="31" fillId="7" borderId="2" xfId="1" applyNumberFormat="1" applyFont="1" applyFill="1" applyBorder="1" applyAlignment="1">
      <alignment horizontal="right" vertical="center"/>
    </xf>
    <xf numFmtId="3" fontId="33" fillId="7" borderId="8" xfId="1" applyNumberFormat="1" applyFont="1" applyFill="1" applyBorder="1" applyAlignment="1">
      <alignment horizontal="right" vertical="center"/>
    </xf>
    <xf numFmtId="4" fontId="33" fillId="7" borderId="5" xfId="1" applyNumberFormat="1" applyFont="1" applyFill="1" applyBorder="1" applyAlignment="1">
      <alignment horizontal="right" vertical="center"/>
    </xf>
    <xf numFmtId="3" fontId="33" fillId="7" borderId="5" xfId="1" applyNumberFormat="1" applyFont="1" applyFill="1" applyBorder="1" applyAlignment="1">
      <alignment horizontal="right" vertical="center"/>
    </xf>
    <xf numFmtId="4" fontId="31" fillId="7" borderId="8" xfId="1" applyNumberFormat="1" applyFont="1" applyFill="1" applyBorder="1" applyAlignment="1">
      <alignment vertical="center" wrapText="1"/>
    </xf>
    <xf numFmtId="4" fontId="31" fillId="7" borderId="5" xfId="1" applyNumberFormat="1" applyFont="1" applyFill="1" applyBorder="1" applyAlignment="1">
      <alignment horizontal="right" vertical="center" wrapText="1"/>
    </xf>
    <xf numFmtId="4" fontId="18" fillId="4" borderId="0" xfId="1" applyNumberFormat="1" applyFont="1" applyFill="1" applyAlignment="1">
      <alignment horizontal="right" vertical="center" wrapText="1"/>
    </xf>
    <xf numFmtId="0" fontId="18" fillId="4" borderId="9" xfId="1" applyFont="1" applyFill="1" applyBorder="1" applyAlignment="1">
      <alignment horizontal="left" vertical="center" wrapText="1"/>
    </xf>
    <xf numFmtId="3" fontId="18" fillId="4" borderId="3" xfId="1" applyNumberFormat="1" applyFont="1" applyFill="1" applyBorder="1" applyAlignment="1">
      <alignment vertical="center" wrapText="1"/>
    </xf>
    <xf numFmtId="4" fontId="18" fillId="4" borderId="3" xfId="1" applyNumberFormat="1" applyFont="1" applyFill="1" applyBorder="1" applyAlignment="1">
      <alignment vertical="center" wrapText="1"/>
    </xf>
    <xf numFmtId="3" fontId="18" fillId="4" borderId="0" xfId="1" applyNumberFormat="1" applyFont="1" applyFill="1" applyAlignment="1">
      <alignment horizontal="right" vertical="center" wrapText="1"/>
    </xf>
    <xf numFmtId="4" fontId="18" fillId="4" borderId="9" xfId="1" applyNumberFormat="1" applyFont="1" applyFill="1" applyBorder="1" applyAlignment="1">
      <alignment vertical="center" wrapText="1"/>
    </xf>
    <xf numFmtId="3" fontId="18" fillId="4" borderId="8" xfId="1" applyNumberFormat="1" applyFont="1" applyFill="1" applyBorder="1" applyAlignment="1">
      <alignment vertical="center" wrapText="1"/>
    </xf>
    <xf numFmtId="4" fontId="18" fillId="4" borderId="8" xfId="1" applyNumberFormat="1" applyFont="1" applyFill="1" applyBorder="1" applyAlignment="1">
      <alignment vertical="center" wrapText="1"/>
    </xf>
    <xf numFmtId="3" fontId="18" fillId="4" borderId="5" xfId="1" applyNumberFormat="1" applyFont="1" applyFill="1" applyBorder="1" applyAlignment="1">
      <alignment horizontal="right" vertical="center" wrapText="1"/>
    </xf>
    <xf numFmtId="4" fontId="18" fillId="4" borderId="8" xfId="1" applyNumberFormat="1" applyFont="1" applyFill="1" applyBorder="1" applyAlignment="1">
      <alignment horizontal="right" vertical="center" wrapText="1"/>
    </xf>
    <xf numFmtId="0" fontId="18" fillId="4" borderId="8" xfId="1" applyFont="1" applyFill="1" applyBorder="1" applyAlignment="1">
      <alignment horizontal="left" vertical="center" wrapText="1"/>
    </xf>
    <xf numFmtId="49" fontId="18" fillId="4" borderId="7" xfId="1" applyNumberFormat="1" applyFont="1" applyFill="1" applyBorder="1" applyAlignment="1">
      <alignment horizontal="center" vertical="center"/>
    </xf>
    <xf numFmtId="0" fontId="36" fillId="4" borderId="0" xfId="1" applyFont="1" applyFill="1"/>
    <xf numFmtId="0" fontId="2" fillId="0" borderId="0" xfId="1" applyFont="1"/>
    <xf numFmtId="0" fontId="5" fillId="0" borderId="0" xfId="1" applyFont="1" applyBorder="1" applyAlignment="1">
      <alignment horizontal="center" vertical="center" wrapText="1"/>
    </xf>
    <xf numFmtId="3" fontId="2" fillId="0" borderId="0" xfId="1" applyNumberFormat="1" applyFont="1"/>
    <xf numFmtId="49" fontId="12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/>
    <xf numFmtId="3" fontId="12" fillId="4" borderId="1" xfId="1" applyNumberFormat="1" applyFont="1" applyFill="1" applyBorder="1" applyAlignment="1">
      <alignment horizontal="right" vertical="center" wrapText="1"/>
    </xf>
    <xf numFmtId="0" fontId="5" fillId="7" borderId="12" xfId="1" applyFont="1" applyFill="1" applyBorder="1" applyAlignment="1">
      <alignment horizontal="left" vertical="center" wrapText="1"/>
    </xf>
    <xf numFmtId="49" fontId="5" fillId="6" borderId="8" xfId="1" applyNumberFormat="1" applyFont="1" applyFill="1" applyBorder="1" applyAlignment="1">
      <alignment horizontal="center" vertical="center"/>
    </xf>
    <xf numFmtId="3" fontId="5" fillId="6" borderId="5" xfId="1" applyNumberFormat="1" applyFont="1" applyFill="1" applyBorder="1" applyAlignment="1">
      <alignment horizontal="right" vertical="center" wrapText="1"/>
    </xf>
    <xf numFmtId="4" fontId="5" fillId="6" borderId="8" xfId="1" applyNumberFormat="1" applyFont="1" applyFill="1" applyBorder="1" applyAlignment="1">
      <alignment horizontal="right" vertical="center" wrapText="1"/>
    </xf>
    <xf numFmtId="4" fontId="5" fillId="6" borderId="5" xfId="1" applyNumberFormat="1" applyFont="1" applyFill="1" applyBorder="1" applyAlignment="1">
      <alignment horizontal="right" vertical="center" wrapText="1"/>
    </xf>
    <xf numFmtId="49" fontId="5" fillId="7" borderId="1" xfId="1" applyNumberFormat="1" applyFont="1" applyFill="1" applyBorder="1" applyAlignment="1">
      <alignment horizontal="left" vertical="center" wrapText="1"/>
    </xf>
    <xf numFmtId="3" fontId="5" fillId="7" borderId="1" xfId="1" applyNumberFormat="1" applyFont="1" applyFill="1" applyBorder="1" applyAlignment="1">
      <alignment horizontal="right" vertical="center" wrapText="1"/>
    </xf>
    <xf numFmtId="4" fontId="5" fillId="7" borderId="13" xfId="1" applyNumberFormat="1" applyFont="1" applyFill="1" applyBorder="1" applyAlignment="1">
      <alignment horizontal="right" vertical="center" wrapText="1"/>
    </xf>
    <xf numFmtId="4" fontId="5" fillId="7" borderId="1" xfId="1" applyNumberFormat="1" applyFont="1" applyFill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3" fontId="12" fillId="0" borderId="1" xfId="1" applyNumberFormat="1" applyFont="1" applyBorder="1" applyAlignment="1">
      <alignment horizontal="right" vertical="center" wrapText="1"/>
    </xf>
    <xf numFmtId="4" fontId="12" fillId="0" borderId="13" xfId="1" applyNumberFormat="1" applyFont="1" applyBorder="1" applyAlignment="1">
      <alignment vertical="center"/>
    </xf>
    <xf numFmtId="4" fontId="12" fillId="0" borderId="1" xfId="1" applyNumberFormat="1" applyFont="1" applyBorder="1" applyAlignment="1">
      <alignment horizontal="right" vertical="center"/>
    </xf>
    <xf numFmtId="4" fontId="12" fillId="0" borderId="13" xfId="1" applyNumberFormat="1" applyFont="1" applyBorder="1" applyAlignment="1">
      <alignment horizontal="right" vertical="center"/>
    </xf>
    <xf numFmtId="49" fontId="5" fillId="0" borderId="13" xfId="1" applyNumberFormat="1" applyFont="1" applyBorder="1" applyAlignment="1">
      <alignment vertical="center"/>
    </xf>
    <xf numFmtId="4" fontId="12" fillId="0" borderId="13" xfId="1" applyNumberFormat="1" applyFont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3" fontId="12" fillId="4" borderId="32" xfId="1" applyNumberFormat="1" applyFont="1" applyFill="1" applyBorder="1" applyAlignment="1">
      <alignment horizontal="right" vertical="center" wrapText="1"/>
    </xf>
    <xf numFmtId="4" fontId="12" fillId="4" borderId="26" xfId="1" applyNumberFormat="1" applyFont="1" applyFill="1" applyBorder="1" applyAlignment="1">
      <alignment horizontal="right" vertical="center" wrapText="1"/>
    </xf>
    <xf numFmtId="49" fontId="12" fillId="4" borderId="1" xfId="1" applyNumberFormat="1" applyFont="1" applyFill="1" applyBorder="1" applyAlignment="1">
      <alignment horizontal="left" vertical="center" wrapText="1"/>
    </xf>
    <xf numFmtId="49" fontId="14" fillId="7" borderId="13" xfId="1" applyNumberFormat="1" applyFont="1" applyFill="1" applyBorder="1" applyAlignment="1">
      <alignment horizontal="center" vertical="center"/>
    </xf>
    <xf numFmtId="49" fontId="14" fillId="7" borderId="1" xfId="1" applyNumberFormat="1" applyFont="1" applyFill="1" applyBorder="1" applyAlignment="1">
      <alignment horizontal="left" vertical="center" wrapText="1"/>
    </xf>
    <xf numFmtId="3" fontId="14" fillId="7" borderId="1" xfId="1" applyNumberFormat="1" applyFont="1" applyFill="1" applyBorder="1" applyAlignment="1">
      <alignment horizontal="right" vertical="center" wrapText="1"/>
    </xf>
    <xf numFmtId="4" fontId="14" fillId="7" borderId="1" xfId="1" applyNumberFormat="1" applyFont="1" applyFill="1" applyBorder="1" applyAlignment="1">
      <alignment horizontal="right" vertical="center" wrapText="1"/>
    </xf>
    <xf numFmtId="4" fontId="14" fillId="7" borderId="13" xfId="1" applyNumberFormat="1" applyFont="1" applyFill="1" applyBorder="1" applyAlignment="1">
      <alignment horizontal="right" vertical="center" wrapText="1"/>
    </xf>
    <xf numFmtId="3" fontId="12" fillId="0" borderId="32" xfId="1" applyNumberFormat="1" applyFont="1" applyBorder="1" applyAlignment="1">
      <alignment horizontal="right" vertical="center" wrapText="1"/>
    </xf>
    <xf numFmtId="4" fontId="12" fillId="0" borderId="26" xfId="1" applyNumberFormat="1" applyFont="1" applyBorder="1" applyAlignment="1">
      <alignment horizontal="right" vertical="center" wrapText="1"/>
    </xf>
    <xf numFmtId="4" fontId="12" fillId="0" borderId="32" xfId="1" applyNumberFormat="1" applyFont="1" applyBorder="1" applyAlignment="1">
      <alignment horizontal="right" vertical="center" wrapText="1"/>
    </xf>
    <xf numFmtId="0" fontId="15" fillId="7" borderId="1" xfId="1" applyFont="1" applyFill="1" applyBorder="1" applyAlignment="1">
      <alignment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left" vertical="center" wrapText="1"/>
    </xf>
    <xf numFmtId="4" fontId="12" fillId="4" borderId="9" xfId="1" applyNumberFormat="1" applyFont="1" applyFill="1" applyBorder="1" applyAlignment="1">
      <alignment horizontal="right" vertical="center" wrapText="1"/>
    </xf>
    <xf numFmtId="0" fontId="21" fillId="4" borderId="0" xfId="1" applyFont="1" applyFill="1" applyBorder="1"/>
    <xf numFmtId="49" fontId="12" fillId="4" borderId="1" xfId="1" applyNumberFormat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vertical="center" wrapText="1"/>
    </xf>
    <xf numFmtId="0" fontId="23" fillId="0" borderId="0" xfId="1" applyFont="1" applyFill="1"/>
    <xf numFmtId="49" fontId="12" fillId="4" borderId="13" xfId="1" applyNumberFormat="1" applyFont="1" applyFill="1" applyBorder="1" applyAlignment="1">
      <alignment horizontal="left" vertical="center" wrapText="1"/>
    </xf>
    <xf numFmtId="0" fontId="12" fillId="0" borderId="12" xfId="3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10" fillId="4" borderId="9" xfId="1" applyNumberFormat="1" applyFont="1" applyFill="1" applyBorder="1" applyAlignment="1">
      <alignment horizontal="center" vertical="center"/>
    </xf>
    <xf numFmtId="49" fontId="12" fillId="4" borderId="9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18" fillId="4" borderId="9" xfId="1" applyNumberFormat="1" applyFont="1" applyFill="1" applyBorder="1" applyAlignment="1">
      <alignment horizontal="center" vertical="center"/>
    </xf>
    <xf numFmtId="49" fontId="12" fillId="4" borderId="13" xfId="1" applyNumberFormat="1" applyFont="1" applyFill="1" applyBorder="1" applyAlignment="1">
      <alignment horizontal="center" vertical="center"/>
    </xf>
    <xf numFmtId="3" fontId="12" fillId="4" borderId="9" xfId="1" applyNumberFormat="1" applyFont="1" applyFill="1" applyBorder="1" applyAlignment="1">
      <alignment horizontal="right" vertical="center" wrapText="1"/>
    </xf>
    <xf numFmtId="3" fontId="12" fillId="4" borderId="13" xfId="1" applyNumberFormat="1" applyFont="1" applyFill="1" applyBorder="1" applyAlignment="1">
      <alignment horizontal="right" vertical="center" wrapText="1"/>
    </xf>
    <xf numFmtId="0" fontId="10" fillId="0" borderId="13" xfId="2" applyFont="1" applyBorder="1" applyAlignment="1">
      <alignment horizontal="left" vertical="center" wrapText="1"/>
    </xf>
    <xf numFmtId="49" fontId="10" fillId="4" borderId="13" xfId="1" applyNumberFormat="1" applyFont="1" applyFill="1" applyBorder="1" applyAlignment="1">
      <alignment horizontal="center" vertical="center" wrapText="1"/>
    </xf>
    <xf numFmtId="4" fontId="18" fillId="4" borderId="9" xfId="1" applyNumberFormat="1" applyFont="1" applyFill="1" applyBorder="1" applyAlignment="1">
      <alignment horizontal="right" vertical="center" wrapText="1"/>
    </xf>
    <xf numFmtId="49" fontId="10" fillId="4" borderId="13" xfId="1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right" vertical="center"/>
    </xf>
    <xf numFmtId="4" fontId="12" fillId="4" borderId="1" xfId="1" applyNumberFormat="1" applyFont="1" applyFill="1" applyBorder="1" applyAlignment="1">
      <alignment horizontal="right" vertical="center"/>
    </xf>
    <xf numFmtId="4" fontId="12" fillId="4" borderId="13" xfId="1" applyNumberFormat="1" applyFont="1" applyFill="1" applyBorder="1" applyAlignment="1">
      <alignment horizontal="right" vertical="center"/>
    </xf>
    <xf numFmtId="4" fontId="3" fillId="0" borderId="0" xfId="1" applyNumberFormat="1" applyFont="1"/>
    <xf numFmtId="49" fontId="32" fillId="0" borderId="9" xfId="1" applyNumberFormat="1" applyFont="1" applyBorder="1" applyAlignment="1">
      <alignment vertical="center"/>
    </xf>
    <xf numFmtId="49" fontId="31" fillId="7" borderId="1" xfId="1" applyNumberFormat="1" applyFont="1" applyFill="1" applyBorder="1" applyAlignment="1">
      <alignment horizontal="left" vertical="center" wrapText="1"/>
    </xf>
    <xf numFmtId="4" fontId="33" fillId="7" borderId="13" xfId="1" applyNumberFormat="1" applyFont="1" applyFill="1" applyBorder="1" applyAlignment="1">
      <alignment horizontal="right" vertical="center"/>
    </xf>
    <xf numFmtId="4" fontId="33" fillId="7" borderId="1" xfId="1" applyNumberFormat="1" applyFont="1" applyFill="1" applyBorder="1" applyAlignment="1">
      <alignment horizontal="right" vertical="center"/>
    </xf>
    <xf numFmtId="4" fontId="18" fillId="4" borderId="9" xfId="1" applyNumberFormat="1" applyFont="1" applyFill="1" applyBorder="1" applyAlignment="1">
      <alignment vertical="center"/>
    </xf>
    <xf numFmtId="49" fontId="18" fillId="4" borderId="26" xfId="1" applyNumberFormat="1" applyFont="1" applyFill="1" applyBorder="1" applyAlignment="1">
      <alignment horizontal="center" vertical="center"/>
    </xf>
    <xf numFmtId="49" fontId="18" fillId="4" borderId="9" xfId="1" applyNumberFormat="1" applyFont="1" applyFill="1" applyBorder="1" applyAlignment="1">
      <alignment horizontal="center" vertical="center" wrapText="1"/>
    </xf>
    <xf numFmtId="3" fontId="35" fillId="4" borderId="32" xfId="1" applyNumberFormat="1" applyFont="1" applyFill="1" applyBorder="1" applyAlignment="1">
      <alignment horizontal="right" vertical="center"/>
    </xf>
    <xf numFmtId="4" fontId="18" fillId="4" borderId="32" xfId="1" applyNumberFormat="1" applyFont="1" applyFill="1" applyBorder="1" applyAlignment="1">
      <alignment horizontal="right" vertical="center" wrapText="1"/>
    </xf>
    <xf numFmtId="4" fontId="18" fillId="4" borderId="26" xfId="1" applyNumberFormat="1" applyFont="1" applyFill="1" applyBorder="1" applyAlignment="1">
      <alignment horizontal="right" vertical="center" wrapText="1"/>
    </xf>
    <xf numFmtId="0" fontId="21" fillId="4" borderId="35" xfId="1" applyFont="1" applyFill="1" applyBorder="1"/>
    <xf numFmtId="0" fontId="3" fillId="6" borderId="8" xfId="1" applyFont="1" applyFill="1" applyBorder="1" applyAlignment="1">
      <alignment horizontal="center"/>
    </xf>
    <xf numFmtId="0" fontId="3" fillId="0" borderId="26" xfId="1" applyFont="1" applyBorder="1" applyAlignment="1">
      <alignment horizontal="center" vertical="center"/>
    </xf>
    <xf numFmtId="3" fontId="12" fillId="0" borderId="26" xfId="1" applyNumberFormat="1" applyFont="1" applyFill="1" applyBorder="1" applyAlignment="1">
      <alignment horizontal="right" vertical="center" wrapText="1"/>
    </xf>
    <xf numFmtId="3" fontId="12" fillId="0" borderId="26" xfId="1" applyNumberFormat="1" applyFont="1" applyBorder="1" applyAlignment="1">
      <alignment horizontal="right" vertical="center" wrapText="1"/>
    </xf>
    <xf numFmtId="49" fontId="12" fillId="0" borderId="26" xfId="1" applyNumberFormat="1" applyFont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right" vertical="center" wrapText="1"/>
    </xf>
    <xf numFmtId="4" fontId="12" fillId="4" borderId="0" xfId="1" applyNumberFormat="1" applyFont="1" applyFill="1" applyBorder="1" applyAlignment="1">
      <alignment horizontal="right" vertical="center"/>
    </xf>
    <xf numFmtId="4" fontId="12" fillId="4" borderId="26" xfId="1" applyNumberFormat="1" applyFont="1" applyFill="1" applyBorder="1" applyAlignment="1">
      <alignment horizontal="right" vertical="center"/>
    </xf>
    <xf numFmtId="0" fontId="18" fillId="6" borderId="8" xfId="1" applyFont="1" applyFill="1" applyBorder="1" applyAlignment="1">
      <alignment horizontal="left" vertical="center" wrapText="1"/>
    </xf>
    <xf numFmtId="0" fontId="10" fillId="6" borderId="8" xfId="1" applyFont="1" applyFill="1" applyBorder="1" applyAlignment="1">
      <alignment horizontal="left" vertical="center" wrapText="1"/>
    </xf>
    <xf numFmtId="0" fontId="7" fillId="6" borderId="8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wrapText="1"/>
    </xf>
    <xf numFmtId="49" fontId="32" fillId="6" borderId="8" xfId="1" applyNumberFormat="1" applyFont="1" applyFill="1" applyBorder="1" applyAlignment="1">
      <alignment horizontal="center" vertical="center"/>
    </xf>
    <xf numFmtId="49" fontId="18" fillId="6" borderId="5" xfId="1" applyNumberFormat="1" applyFont="1" applyFill="1" applyBorder="1" applyAlignment="1">
      <alignment horizontal="center" vertical="center"/>
    </xf>
    <xf numFmtId="49" fontId="32" fillId="6" borderId="8" xfId="1" applyNumberFormat="1" applyFont="1" applyFill="1" applyBorder="1" applyAlignment="1">
      <alignment horizontal="left" vertical="center" wrapText="1"/>
    </xf>
    <xf numFmtId="49" fontId="18" fillId="6" borderId="8" xfId="1" applyNumberFormat="1" applyFont="1" applyFill="1" applyBorder="1" applyAlignment="1">
      <alignment horizontal="center" vertical="center"/>
    </xf>
    <xf numFmtId="3" fontId="32" fillId="6" borderId="8" xfId="1" applyNumberFormat="1" applyFont="1" applyFill="1" applyBorder="1" applyAlignment="1">
      <alignment horizontal="right" vertical="center" wrapText="1"/>
    </xf>
    <xf numFmtId="4" fontId="32" fillId="6" borderId="8" xfId="1" applyNumberFormat="1" applyFont="1" applyFill="1" applyBorder="1" applyAlignment="1">
      <alignment horizontal="right" vertical="center" wrapText="1"/>
    </xf>
    <xf numFmtId="49" fontId="10" fillId="6" borderId="5" xfId="1" applyNumberFormat="1" applyFont="1" applyFill="1" applyBorder="1" applyAlignment="1">
      <alignment horizontal="center" vertical="center"/>
    </xf>
    <xf numFmtId="49" fontId="7" fillId="6" borderId="8" xfId="1" applyNumberFormat="1" applyFont="1" applyFill="1" applyBorder="1" applyAlignment="1">
      <alignment horizontal="left" vertical="center" wrapText="1"/>
    </xf>
    <xf numFmtId="49" fontId="12" fillId="6" borderId="8" xfId="1" applyNumberFormat="1" applyFont="1" applyFill="1" applyBorder="1" applyAlignment="1">
      <alignment horizontal="center" vertical="center"/>
    </xf>
    <xf numFmtId="3" fontId="5" fillId="6" borderId="8" xfId="1" applyNumberFormat="1" applyFont="1" applyFill="1" applyBorder="1" applyAlignment="1">
      <alignment horizontal="right" vertical="center" wrapText="1"/>
    </xf>
    <xf numFmtId="3" fontId="7" fillId="6" borderId="8" xfId="1" applyNumberFormat="1" applyFont="1" applyFill="1" applyBorder="1" applyAlignment="1">
      <alignment horizontal="right" vertical="center" wrapText="1"/>
    </xf>
    <xf numFmtId="0" fontId="11" fillId="6" borderId="5" xfId="1" applyFont="1" applyFill="1" applyBorder="1" applyAlignment="1">
      <alignment horizontal="center"/>
    </xf>
    <xf numFmtId="0" fontId="7" fillId="6" borderId="8" xfId="1" applyFont="1" applyFill="1" applyBorder="1" applyAlignment="1">
      <alignment vertical="center" wrapText="1"/>
    </xf>
    <xf numFmtId="4" fontId="7" fillId="6" borderId="2" xfId="1" applyNumberFormat="1" applyFont="1" applyFill="1" applyBorder="1" applyAlignment="1">
      <alignment horizontal="right" vertical="center" wrapText="1"/>
    </xf>
    <xf numFmtId="0" fontId="3" fillId="6" borderId="5" xfId="1" applyFont="1" applyFill="1" applyBorder="1" applyAlignment="1">
      <alignment horizontal="center"/>
    </xf>
    <xf numFmtId="0" fontId="5" fillId="6" borderId="8" xfId="1" applyFont="1" applyFill="1" applyBorder="1" applyAlignment="1">
      <alignment vertical="center" wrapText="1"/>
    </xf>
    <xf numFmtId="4" fontId="5" fillId="6" borderId="29" xfId="1" applyNumberFormat="1" applyFont="1" applyFill="1" applyBorder="1" applyAlignment="1">
      <alignment horizontal="right" vertical="center" wrapText="1"/>
    </xf>
    <xf numFmtId="3" fontId="5" fillId="2" borderId="8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49" fontId="5" fillId="0" borderId="9" xfId="1" applyNumberFormat="1" applyFont="1" applyFill="1" applyBorder="1" applyAlignment="1">
      <alignment vertical="center"/>
    </xf>
    <xf numFmtId="49" fontId="32" fillId="0" borderId="13" xfId="1" applyNumberFormat="1" applyFont="1" applyBorder="1" applyAlignment="1">
      <alignment vertical="center"/>
    </xf>
    <xf numFmtId="0" fontId="20" fillId="7" borderId="12" xfId="1" applyFont="1" applyFill="1" applyBorder="1" applyAlignment="1">
      <alignment horizontal="left" vertical="center" wrapText="1"/>
    </xf>
    <xf numFmtId="0" fontId="35" fillId="0" borderId="0" xfId="1" applyFont="1" applyAlignment="1">
      <alignment horizontal="left"/>
    </xf>
    <xf numFmtId="0" fontId="12" fillId="0" borderId="10" xfId="2" applyFont="1" applyBorder="1" applyAlignment="1">
      <alignment horizontal="left" vertical="center" wrapText="1"/>
    </xf>
    <xf numFmtId="0" fontId="20" fillId="7" borderId="12" xfId="2" applyFont="1" applyFill="1" applyBorder="1" applyAlignment="1">
      <alignment horizontal="left" vertical="center" wrapText="1"/>
    </xf>
    <xf numFmtId="0" fontId="18" fillId="0" borderId="10" xfId="3" applyFont="1" applyBorder="1" applyAlignment="1">
      <alignment horizontal="left" vertical="top" wrapText="1"/>
    </xf>
    <xf numFmtId="0" fontId="18" fillId="0" borderId="12" xfId="3" applyFont="1" applyBorder="1" applyAlignment="1">
      <alignment horizontal="left" vertical="center" wrapText="1"/>
    </xf>
    <xf numFmtId="0" fontId="18" fillId="0" borderId="12" xfId="3" applyFont="1" applyBorder="1" applyAlignment="1">
      <alignment horizontal="left" vertical="top" wrapText="1"/>
    </xf>
    <xf numFmtId="0" fontId="10" fillId="0" borderId="12" xfId="3" applyFont="1" applyBorder="1" applyAlignment="1">
      <alignment horizontal="left" vertical="center" wrapText="1"/>
    </xf>
    <xf numFmtId="3" fontId="35" fillId="0" borderId="0" xfId="1" applyNumberFormat="1" applyFont="1" applyAlignment="1">
      <alignment horizontal="left"/>
    </xf>
    <xf numFmtId="0" fontId="17" fillId="0" borderId="0" xfId="1" applyFont="1" applyBorder="1" applyAlignment="1">
      <alignment horizontal="right" vertical="center" wrapText="1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wrapText="1"/>
    </xf>
    <xf numFmtId="0" fontId="12" fillId="0" borderId="0" xfId="1" applyFont="1"/>
    <xf numFmtId="3" fontId="12" fillId="4" borderId="0" xfId="1" applyNumberFormat="1" applyFont="1" applyFill="1" applyBorder="1" applyAlignment="1">
      <alignment horizontal="right" vertical="center"/>
    </xf>
    <xf numFmtId="4" fontId="12" fillId="0" borderId="26" xfId="1" applyNumberFormat="1" applyFont="1" applyBorder="1" applyAlignment="1">
      <alignment horizontal="right" vertical="center"/>
    </xf>
    <xf numFmtId="3" fontId="12" fillId="0" borderId="0" xfId="1" applyNumberFormat="1" applyFont="1"/>
    <xf numFmtId="3" fontId="39" fillId="0" borderId="0" xfId="1" applyNumberFormat="1" applyFont="1" applyAlignment="1">
      <alignment vertical="center"/>
    </xf>
    <xf numFmtId="0" fontId="39" fillId="0" borderId="0" xfId="1" applyFont="1" applyAlignment="1">
      <alignment vertical="center"/>
    </xf>
    <xf numFmtId="0" fontId="41" fillId="0" borderId="0" xfId="1" applyFont="1" applyAlignment="1">
      <alignment horizontal="right" vertical="center" wrapText="1"/>
    </xf>
    <xf numFmtId="0" fontId="40" fillId="5" borderId="8" xfId="1" applyFont="1" applyFill="1" applyBorder="1" applyAlignment="1">
      <alignment horizontal="center" vertical="center"/>
    </xf>
    <xf numFmtId="0" fontId="40" fillId="5" borderId="8" xfId="1" applyFont="1" applyFill="1" applyBorder="1" applyAlignment="1">
      <alignment horizontal="center" vertical="center" wrapText="1"/>
    </xf>
    <xf numFmtId="0" fontId="42" fillId="5" borderId="8" xfId="1" applyFont="1" applyFill="1" applyBorder="1" applyAlignment="1">
      <alignment horizontal="center" vertical="center"/>
    </xf>
    <xf numFmtId="4" fontId="40" fillId="9" borderId="37" xfId="1" applyNumberFormat="1" applyFont="1" applyFill="1" applyBorder="1" applyAlignment="1">
      <alignment horizontal="right" vertical="center"/>
    </xf>
    <xf numFmtId="10" fontId="40" fillId="9" borderId="38" xfId="4" applyNumberFormat="1" applyFont="1" applyFill="1" applyBorder="1" applyAlignment="1">
      <alignment vertical="center"/>
    </xf>
    <xf numFmtId="4" fontId="40" fillId="10" borderId="41" xfId="1" applyNumberFormat="1" applyFont="1" applyFill="1" applyBorder="1" applyAlignment="1">
      <alignment horizontal="right" vertical="center"/>
    </xf>
    <xf numFmtId="10" fontId="40" fillId="10" borderId="42" xfId="5" applyNumberFormat="1" applyFont="1" applyFill="1" applyBorder="1" applyAlignment="1">
      <alignment vertical="center"/>
    </xf>
    <xf numFmtId="49" fontId="43" fillId="0" borderId="41" xfId="1" applyNumberFormat="1" applyFont="1" applyBorder="1" applyAlignment="1">
      <alignment horizontal="center" vertical="center"/>
    </xf>
    <xf numFmtId="0" fontId="43" fillId="0" borderId="41" xfId="1" applyFont="1" applyBorder="1" applyAlignment="1">
      <alignment horizontal="left" vertical="center" wrapText="1"/>
    </xf>
    <xf numFmtId="4" fontId="43" fillId="0" borderId="41" xfId="1" applyNumberFormat="1" applyFont="1" applyBorder="1" applyAlignment="1">
      <alignment horizontal="right" vertical="center"/>
    </xf>
    <xf numFmtId="4" fontId="43" fillId="0" borderId="41" xfId="1" applyNumberFormat="1" applyFont="1" applyBorder="1" applyAlignment="1">
      <alignment vertical="center"/>
    </xf>
    <xf numFmtId="10" fontId="43" fillId="0" borderId="42" xfId="4" applyNumberFormat="1" applyFont="1" applyBorder="1" applyAlignment="1">
      <alignment vertical="center"/>
    </xf>
    <xf numFmtId="49" fontId="43" fillId="0" borderId="41" xfId="1" applyNumberFormat="1" applyFont="1" applyBorder="1" applyAlignment="1">
      <alignment vertical="center" wrapText="1"/>
    </xf>
    <xf numFmtId="4" fontId="40" fillId="9" borderId="41" xfId="1" applyNumberFormat="1" applyFont="1" applyFill="1" applyBorder="1" applyAlignment="1">
      <alignment horizontal="right" vertical="center"/>
    </xf>
    <xf numFmtId="10" fontId="40" fillId="9" borderId="42" xfId="4" applyNumberFormat="1" applyFont="1" applyFill="1" applyBorder="1" applyAlignment="1">
      <alignment vertical="center"/>
    </xf>
    <xf numFmtId="10" fontId="40" fillId="10" borderId="42" xfId="5" applyNumberFormat="1" applyFont="1" applyFill="1" applyBorder="1" applyAlignment="1">
      <alignment horizontal="right" vertical="center"/>
    </xf>
    <xf numFmtId="49" fontId="43" fillId="0" borderId="41" xfId="1" applyNumberFormat="1" applyFont="1" applyBorder="1" applyAlignment="1">
      <alignment horizontal="left" vertical="center" wrapText="1"/>
    </xf>
    <xf numFmtId="10" fontId="43" fillId="0" borderId="42" xfId="5" applyNumberFormat="1" applyFont="1" applyBorder="1" applyAlignment="1">
      <alignment vertical="center"/>
    </xf>
    <xf numFmtId="49" fontId="43" fillId="0" borderId="40" xfId="1" applyNumberFormat="1" applyFont="1" applyBorder="1" applyAlignment="1">
      <alignment horizontal="center" vertical="center"/>
    </xf>
    <xf numFmtId="49" fontId="43" fillId="0" borderId="40" xfId="1" applyNumberFormat="1" applyFont="1" applyBorder="1" applyAlignment="1">
      <alignment horizontal="left" vertical="center" wrapText="1"/>
    </xf>
    <xf numFmtId="4" fontId="43" fillId="0" borderId="40" xfId="1" applyNumberFormat="1" applyFont="1" applyBorder="1" applyAlignment="1">
      <alignment horizontal="right" vertical="center"/>
    </xf>
    <xf numFmtId="4" fontId="43" fillId="0" borderId="40" xfId="1" applyNumberFormat="1" applyFont="1" applyBorder="1" applyAlignment="1">
      <alignment vertical="center"/>
    </xf>
    <xf numFmtId="10" fontId="43" fillId="0" borderId="46" xfId="5" applyNumberFormat="1" applyFont="1" applyBorder="1" applyAlignment="1">
      <alignment vertical="center"/>
    </xf>
    <xf numFmtId="4" fontId="40" fillId="5" borderId="8" xfId="1" applyNumberFormat="1" applyFont="1" applyFill="1" applyBorder="1" applyAlignment="1">
      <alignment horizontal="right" vertical="center"/>
    </xf>
    <xf numFmtId="10" fontId="40" fillId="5" borderId="8" xfId="5" applyNumberFormat="1" applyFont="1" applyFill="1" applyBorder="1" applyAlignment="1">
      <alignment horizontal="right" vertical="center"/>
    </xf>
    <xf numFmtId="49" fontId="39" fillId="0" borderId="0" xfId="1" applyNumberFormat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3" fontId="39" fillId="0" borderId="0" xfId="1" applyNumberFormat="1" applyFont="1" applyAlignment="1">
      <alignment horizontal="right" vertical="center"/>
    </xf>
    <xf numFmtId="4" fontId="39" fillId="0" borderId="0" xfId="1" applyNumberFormat="1" applyFont="1" applyAlignment="1">
      <alignment vertical="center"/>
    </xf>
    <xf numFmtId="49" fontId="39" fillId="0" borderId="0" xfId="1" applyNumberFormat="1" applyFont="1" applyAlignment="1">
      <alignment vertical="center"/>
    </xf>
    <xf numFmtId="0" fontId="39" fillId="0" borderId="0" xfId="1" applyFont="1" applyAlignment="1">
      <alignment horizontal="right" vertical="center"/>
    </xf>
    <xf numFmtId="0" fontId="44" fillId="0" borderId="0" xfId="1" applyFont="1" applyAlignment="1">
      <alignment vertical="center"/>
    </xf>
    <xf numFmtId="0" fontId="41" fillId="0" borderId="1" xfId="1" applyFont="1" applyBorder="1" applyAlignment="1">
      <alignment horizontal="left" vertical="center" wrapText="1"/>
    </xf>
    <xf numFmtId="0" fontId="40" fillId="5" borderId="56" xfId="1" applyFont="1" applyFill="1" applyBorder="1" applyAlignment="1">
      <alignment horizontal="center" vertical="center" wrapText="1"/>
    </xf>
    <xf numFmtId="0" fontId="42" fillId="0" borderId="49" xfId="1" applyFont="1" applyBorder="1" applyAlignment="1">
      <alignment horizontal="center" vertical="center"/>
    </xf>
    <xf numFmtId="0" fontId="42" fillId="0" borderId="50" xfId="1" applyFont="1" applyBorder="1" applyAlignment="1">
      <alignment horizontal="center" vertical="center"/>
    </xf>
    <xf numFmtId="0" fontId="42" fillId="0" borderId="54" xfId="1" applyFont="1" applyBorder="1" applyAlignment="1">
      <alignment horizontal="center" vertical="center"/>
    </xf>
    <xf numFmtId="0" fontId="40" fillId="11" borderId="37" xfId="1" applyFont="1" applyFill="1" applyBorder="1" applyAlignment="1">
      <alignment horizontal="center" vertical="center"/>
    </xf>
    <xf numFmtId="4" fontId="40" fillId="11" borderId="37" xfId="1" applyNumberFormat="1" applyFont="1" applyFill="1" applyBorder="1" applyAlignment="1">
      <alignment horizontal="right" vertical="center"/>
    </xf>
    <xf numFmtId="10" fontId="40" fillId="11" borderId="38" xfId="5" applyNumberFormat="1" applyFont="1" applyFill="1" applyBorder="1" applyAlignment="1">
      <alignment horizontal="right" vertical="center"/>
    </xf>
    <xf numFmtId="3" fontId="39" fillId="0" borderId="0" xfId="1" applyNumberFormat="1" applyFont="1" applyAlignment="1">
      <alignment horizontal="center" vertical="center"/>
    </xf>
    <xf numFmtId="49" fontId="40" fillId="0" borderId="41" xfId="1" applyNumberFormat="1" applyFont="1" applyBorder="1" applyAlignment="1">
      <alignment horizontal="center" vertical="center" wrapText="1"/>
    </xf>
    <xf numFmtId="4" fontId="40" fillId="0" borderId="41" xfId="1" applyNumberFormat="1" applyFont="1" applyBorder="1" applyAlignment="1">
      <alignment horizontal="right" vertical="center" wrapText="1"/>
    </xf>
    <xf numFmtId="4" fontId="40" fillId="0" borderId="41" xfId="1" applyNumberFormat="1" applyFont="1" applyBorder="1" applyAlignment="1">
      <alignment horizontal="right" vertical="center"/>
    </xf>
    <xf numFmtId="4" fontId="40" fillId="0" borderId="47" xfId="1" applyNumberFormat="1" applyFont="1" applyBorder="1" applyAlignment="1">
      <alignment horizontal="right" vertical="center"/>
    </xf>
    <xf numFmtId="10" fontId="40" fillId="0" borderId="42" xfId="5" applyNumberFormat="1" applyFont="1" applyBorder="1" applyAlignment="1">
      <alignment horizontal="right" vertical="center"/>
    </xf>
    <xf numFmtId="49" fontId="45" fillId="0" borderId="41" xfId="1" applyNumberFormat="1" applyFont="1" applyBorder="1" applyAlignment="1">
      <alignment horizontal="center" vertical="center" wrapText="1"/>
    </xf>
    <xf numFmtId="4" fontId="45" fillId="0" borderId="41" xfId="1" applyNumberFormat="1" applyFont="1" applyBorder="1" applyAlignment="1">
      <alignment horizontal="right" vertical="center" wrapText="1"/>
    </xf>
    <xf numFmtId="4" fontId="43" fillId="0" borderId="47" xfId="1" applyNumberFormat="1" applyFont="1" applyBorder="1" applyAlignment="1">
      <alignment horizontal="right" vertical="center"/>
    </xf>
    <xf numFmtId="10" fontId="43" fillId="0" borderId="42" xfId="5" applyNumberFormat="1" applyFont="1" applyBorder="1" applyAlignment="1">
      <alignment horizontal="right" vertical="center"/>
    </xf>
    <xf numFmtId="49" fontId="45" fillId="0" borderId="37" xfId="1" applyNumberFormat="1" applyFont="1" applyBorder="1" applyAlignment="1">
      <alignment horizontal="center" vertical="center" wrapText="1"/>
    </xf>
    <xf numFmtId="4" fontId="45" fillId="0" borderId="37" xfId="1" applyNumberFormat="1" applyFont="1" applyBorder="1" applyAlignment="1">
      <alignment horizontal="right" vertical="center" wrapText="1"/>
    </xf>
    <xf numFmtId="4" fontId="43" fillId="0" borderId="37" xfId="1" applyNumberFormat="1" applyFont="1" applyBorder="1" applyAlignment="1">
      <alignment horizontal="right" vertical="center"/>
    </xf>
    <xf numFmtId="4" fontId="43" fillId="0" borderId="60" xfId="1" applyNumberFormat="1" applyFont="1" applyBorder="1" applyAlignment="1">
      <alignment horizontal="right" vertical="center"/>
    </xf>
    <xf numFmtId="4" fontId="46" fillId="0" borderId="37" xfId="1" applyNumberFormat="1" applyFont="1" applyBorder="1" applyAlignment="1">
      <alignment horizontal="right" vertical="center" wrapText="1"/>
    </xf>
    <xf numFmtId="4" fontId="40" fillId="0" borderId="37" xfId="1" applyNumberFormat="1" applyFont="1" applyBorder="1" applyAlignment="1">
      <alignment horizontal="right" vertical="center"/>
    </xf>
    <xf numFmtId="4" fontId="40" fillId="0" borderId="60" xfId="1" applyNumberFormat="1" applyFont="1" applyBorder="1" applyAlignment="1">
      <alignment horizontal="right" vertical="center"/>
    </xf>
    <xf numFmtId="49" fontId="43" fillId="0" borderId="37" xfId="1" applyNumberFormat="1" applyFont="1" applyBorder="1" applyAlignment="1">
      <alignment horizontal="center" vertical="center" wrapText="1"/>
    </xf>
    <xf numFmtId="4" fontId="41" fillId="0" borderId="37" xfId="1" applyNumberFormat="1" applyFont="1" applyBorder="1" applyAlignment="1">
      <alignment horizontal="right" vertical="center"/>
    </xf>
    <xf numFmtId="4" fontId="41" fillId="0" borderId="60" xfId="1" applyNumberFormat="1" applyFont="1" applyBorder="1" applyAlignment="1">
      <alignment horizontal="right" vertical="center"/>
    </xf>
    <xf numFmtId="10" fontId="40" fillId="0" borderId="38" xfId="5" applyNumberFormat="1" applyFont="1" applyFill="1" applyBorder="1" applyAlignment="1">
      <alignment horizontal="right" vertical="center"/>
    </xf>
    <xf numFmtId="49" fontId="43" fillId="0" borderId="41" xfId="1" applyNumberFormat="1" applyFont="1" applyBorder="1" applyAlignment="1">
      <alignment horizontal="center" vertical="center" wrapText="1"/>
    </xf>
    <xf numFmtId="4" fontId="43" fillId="0" borderId="41" xfId="1" applyNumberFormat="1" applyFont="1" applyBorder="1" applyAlignment="1">
      <alignment horizontal="right" vertical="center" wrapText="1"/>
    </xf>
    <xf numFmtId="10" fontId="43" fillId="0" borderId="38" xfId="5" applyNumberFormat="1" applyFont="1" applyFill="1" applyBorder="1" applyAlignment="1">
      <alignment horizontal="right" vertical="center"/>
    </xf>
    <xf numFmtId="4" fontId="41" fillId="0" borderId="41" xfId="1" applyNumberFormat="1" applyFont="1" applyBorder="1" applyAlignment="1">
      <alignment horizontal="right" vertical="center"/>
    </xf>
    <xf numFmtId="4" fontId="41" fillId="0" borderId="47" xfId="1" applyNumberFormat="1" applyFont="1" applyBorder="1" applyAlignment="1">
      <alignment horizontal="right" vertical="center"/>
    </xf>
    <xf numFmtId="0" fontId="40" fillId="11" borderId="41" xfId="1" applyFont="1" applyFill="1" applyBorder="1" applyAlignment="1">
      <alignment horizontal="center" vertical="center"/>
    </xf>
    <xf numFmtId="4" fontId="40" fillId="11" borderId="41" xfId="1" applyNumberFormat="1" applyFont="1" applyFill="1" applyBorder="1" applyAlignment="1">
      <alignment horizontal="right" vertical="center"/>
    </xf>
    <xf numFmtId="10" fontId="40" fillId="11" borderId="42" xfId="5" applyNumberFormat="1" applyFont="1" applyFill="1" applyBorder="1" applyAlignment="1">
      <alignment horizontal="right" vertical="center"/>
    </xf>
    <xf numFmtId="49" fontId="43" fillId="0" borderId="40" xfId="1" applyNumberFormat="1" applyFont="1" applyBorder="1" applyAlignment="1">
      <alignment horizontal="center" vertical="center" wrapText="1"/>
    </xf>
    <xf numFmtId="4" fontId="43" fillId="0" borderId="40" xfId="1" applyNumberFormat="1" applyFont="1" applyBorder="1" applyAlignment="1">
      <alignment horizontal="right" vertical="center" wrapText="1"/>
    </xf>
    <xf numFmtId="4" fontId="43" fillId="0" borderId="61" xfId="1" applyNumberFormat="1" applyFont="1" applyBorder="1" applyAlignment="1">
      <alignment horizontal="right" vertical="center"/>
    </xf>
    <xf numFmtId="10" fontId="43" fillId="0" borderId="62" xfId="5" applyNumberFormat="1" applyFont="1" applyFill="1" applyBorder="1" applyAlignment="1">
      <alignment horizontal="right" vertical="center"/>
    </xf>
    <xf numFmtId="49" fontId="46" fillId="0" borderId="37" xfId="1" applyNumberFormat="1" applyFont="1" applyBorder="1" applyAlignment="1">
      <alignment horizontal="center" vertical="center" wrapText="1"/>
    </xf>
    <xf numFmtId="49" fontId="45" fillId="0" borderId="40" xfId="1" applyNumberFormat="1" applyFont="1" applyBorder="1" applyAlignment="1">
      <alignment horizontal="center" vertical="center" wrapText="1"/>
    </xf>
    <xf numFmtId="4" fontId="45" fillId="0" borderId="40" xfId="1" applyNumberFormat="1" applyFont="1" applyBorder="1" applyAlignment="1">
      <alignment horizontal="right" vertical="center" wrapText="1"/>
    </xf>
    <xf numFmtId="4" fontId="41" fillId="0" borderId="40" xfId="1" applyNumberFormat="1" applyFont="1" applyBorder="1" applyAlignment="1">
      <alignment horizontal="right" vertical="center"/>
    </xf>
    <xf numFmtId="4" fontId="41" fillId="0" borderId="61" xfId="1" applyNumberFormat="1" applyFont="1" applyBorder="1" applyAlignment="1">
      <alignment horizontal="right" vertical="center"/>
    </xf>
    <xf numFmtId="10" fontId="43" fillId="0" borderId="46" xfId="5" applyNumberFormat="1" applyFont="1" applyBorder="1" applyAlignment="1">
      <alignment horizontal="right" vertical="center"/>
    </xf>
    <xf numFmtId="0" fontId="39" fillId="0" borderId="35" xfId="1" applyFont="1" applyBorder="1" applyAlignment="1">
      <alignment horizontal="center" vertical="center"/>
    </xf>
    <xf numFmtId="4" fontId="40" fillId="11" borderId="47" xfId="1" applyNumberFormat="1" applyFont="1" applyFill="1" applyBorder="1" applyAlignment="1">
      <alignment horizontal="right" vertical="center"/>
    </xf>
    <xf numFmtId="49" fontId="45" fillId="0" borderId="57" xfId="1" applyNumberFormat="1" applyFont="1" applyBorder="1" applyAlignment="1">
      <alignment horizontal="center" vertical="center" wrapText="1"/>
    </xf>
    <xf numFmtId="4" fontId="45" fillId="0" borderId="57" xfId="1" applyNumberFormat="1" applyFont="1" applyBorder="1" applyAlignment="1">
      <alignment horizontal="right" vertical="center" wrapText="1"/>
    </xf>
    <xf numFmtId="4" fontId="43" fillId="0" borderId="56" xfId="1" applyNumberFormat="1" applyFont="1" applyBorder="1" applyAlignment="1">
      <alignment horizontal="right" vertical="center"/>
    </xf>
    <xf numFmtId="4" fontId="43" fillId="0" borderId="57" xfId="1" applyNumberFormat="1" applyFont="1" applyBorder="1" applyAlignment="1">
      <alignment horizontal="right" vertical="center"/>
    </xf>
    <xf numFmtId="4" fontId="41" fillId="0" borderId="65" xfId="1" applyNumberFormat="1" applyFont="1" applyBorder="1" applyAlignment="1">
      <alignment horizontal="right" vertical="center"/>
    </xf>
    <xf numFmtId="10" fontId="43" fillId="0" borderId="66" xfId="5" applyNumberFormat="1" applyFont="1" applyFill="1" applyBorder="1" applyAlignment="1">
      <alignment horizontal="right" vertical="center"/>
    </xf>
    <xf numFmtId="49" fontId="40" fillId="5" borderId="68" xfId="1" applyNumberFormat="1" applyFont="1" applyFill="1" applyBorder="1" applyAlignment="1">
      <alignment horizontal="center" vertical="center"/>
    </xf>
    <xf numFmtId="4" fontId="40" fillId="5" borderId="68" xfId="1" applyNumberFormat="1" applyFont="1" applyFill="1" applyBorder="1" applyAlignment="1">
      <alignment horizontal="right" vertical="center"/>
    </xf>
    <xf numFmtId="10" fontId="40" fillId="5" borderId="69" xfId="5" applyNumberFormat="1" applyFont="1" applyFill="1" applyBorder="1" applyAlignment="1">
      <alignment horizontal="right" vertical="center"/>
    </xf>
    <xf numFmtId="49" fontId="39" fillId="0" borderId="0" xfId="1" applyNumberFormat="1" applyFont="1" applyAlignment="1">
      <alignment horizontal="center" vertical="top"/>
    </xf>
    <xf numFmtId="49" fontId="47" fillId="0" borderId="0" xfId="1" applyNumberFormat="1" applyFont="1" applyAlignment="1">
      <alignment horizontal="center" vertical="center"/>
    </xf>
    <xf numFmtId="4" fontId="39" fillId="0" borderId="0" xfId="1" applyNumberFormat="1" applyFont="1" applyAlignment="1">
      <alignment horizontal="center" vertical="center"/>
    </xf>
    <xf numFmtId="4" fontId="39" fillId="0" borderId="0" xfId="1" applyNumberFormat="1" applyFont="1" applyAlignment="1">
      <alignment horizontal="right" vertical="center"/>
    </xf>
    <xf numFmtId="4" fontId="48" fillId="0" borderId="0" xfId="1" applyNumberFormat="1" applyFont="1" applyAlignment="1">
      <alignment horizontal="center" vertical="center"/>
    </xf>
    <xf numFmtId="0" fontId="39" fillId="0" borderId="0" xfId="1" applyFont="1" applyAlignment="1">
      <alignment horizontal="center" vertical="top"/>
    </xf>
    <xf numFmtId="0" fontId="47" fillId="0" borderId="0" xfId="1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9" fillId="0" borderId="0" xfId="1" applyFont="1" applyAlignment="1">
      <alignment horizontal="center" vertical="top"/>
    </xf>
    <xf numFmtId="0" fontId="18" fillId="0" borderId="0" xfId="6" applyFont="1"/>
    <xf numFmtId="0" fontId="52" fillId="0" borderId="0" xfId="8"/>
    <xf numFmtId="0" fontId="14" fillId="0" borderId="0" xfId="7" applyFont="1" applyAlignment="1">
      <alignment horizontal="center" vertical="center" wrapText="1"/>
    </xf>
    <xf numFmtId="0" fontId="14" fillId="12" borderId="0" xfId="7" applyFont="1" applyFill="1" applyAlignment="1">
      <alignment horizontal="center" vertical="center" wrapText="1"/>
    </xf>
    <xf numFmtId="0" fontId="17" fillId="0" borderId="1" xfId="7" applyFont="1" applyBorder="1" applyAlignment="1">
      <alignment horizontal="right" vertical="center" wrapText="1"/>
    </xf>
    <xf numFmtId="0" fontId="5" fillId="5" borderId="2" xfId="7" applyFont="1" applyFill="1" applyBorder="1" applyAlignment="1">
      <alignment horizontal="center" vertical="center"/>
    </xf>
    <xf numFmtId="0" fontId="32" fillId="5" borderId="8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/>
    </xf>
    <xf numFmtId="0" fontId="12" fillId="5" borderId="8" xfId="7" applyFont="1" applyFill="1" applyBorder="1" applyAlignment="1">
      <alignment horizontal="center" vertical="center"/>
    </xf>
    <xf numFmtId="0" fontId="12" fillId="5" borderId="5" xfId="7" applyFont="1" applyFill="1" applyBorder="1" applyAlignment="1">
      <alignment horizontal="center" vertical="center"/>
    </xf>
    <xf numFmtId="0" fontId="12" fillId="5" borderId="2" xfId="7" applyFont="1" applyFill="1" applyBorder="1" applyAlignment="1">
      <alignment horizontal="center" vertical="center"/>
    </xf>
    <xf numFmtId="0" fontId="32" fillId="0" borderId="24" xfId="6" applyFont="1" applyBorder="1" applyAlignment="1">
      <alignment horizontal="center" vertical="center"/>
    </xf>
    <xf numFmtId="0" fontId="12" fillId="12" borderId="33" xfId="9" applyFont="1" applyFill="1" applyBorder="1" applyAlignment="1">
      <alignment horizontal="center" vertical="center" wrapText="1"/>
    </xf>
    <xf numFmtId="0" fontId="12" fillId="12" borderId="34" xfId="9" applyFont="1" applyFill="1" applyBorder="1" applyAlignment="1">
      <alignment horizontal="left" vertical="center" wrapText="1"/>
    </xf>
    <xf numFmtId="3" fontId="12" fillId="4" borderId="24" xfId="7" applyNumberFormat="1" applyFont="1" applyFill="1" applyBorder="1" applyAlignment="1">
      <alignment vertical="center"/>
    </xf>
    <xf numFmtId="4" fontId="18" fillId="4" borderId="33" xfId="6" applyNumberFormat="1" applyFont="1" applyFill="1" applyBorder="1" applyAlignment="1">
      <alignment vertical="center"/>
    </xf>
    <xf numFmtId="4" fontId="12" fillId="4" borderId="33" xfId="7" applyNumberFormat="1" applyFont="1" applyFill="1" applyBorder="1" applyAlignment="1">
      <alignment vertical="center"/>
    </xf>
    <xf numFmtId="0" fontId="32" fillId="0" borderId="25" xfId="6" applyFont="1" applyBorder="1" applyAlignment="1">
      <alignment horizontal="center" vertical="center"/>
    </xf>
    <xf numFmtId="0" fontId="12" fillId="12" borderId="21" xfId="9" applyFont="1" applyFill="1" applyBorder="1" applyAlignment="1">
      <alignment horizontal="center" vertical="center" wrapText="1"/>
    </xf>
    <xf numFmtId="0" fontId="12" fillId="12" borderId="20" xfId="9" applyFont="1" applyFill="1" applyBorder="1" applyAlignment="1">
      <alignment horizontal="left" vertical="center" wrapText="1"/>
    </xf>
    <xf numFmtId="3" fontId="12" fillId="4" borderId="25" xfId="7" applyNumberFormat="1" applyFont="1" applyFill="1" applyBorder="1" applyAlignment="1">
      <alignment vertical="center"/>
    </xf>
    <xf numFmtId="4" fontId="18" fillId="4" borderId="21" xfId="6" applyNumberFormat="1" applyFont="1" applyFill="1" applyBorder="1" applyAlignment="1">
      <alignment vertical="center"/>
    </xf>
    <xf numFmtId="4" fontId="12" fillId="4" borderId="21" xfId="7" applyNumberFormat="1" applyFont="1" applyFill="1" applyBorder="1" applyAlignment="1">
      <alignment vertical="center"/>
    </xf>
    <xf numFmtId="0" fontId="32" fillId="0" borderId="70" xfId="6" applyFont="1" applyBorder="1" applyAlignment="1">
      <alignment horizontal="center" vertical="center"/>
    </xf>
    <xf numFmtId="0" fontId="12" fillId="12" borderId="21" xfId="9" applyFont="1" applyFill="1" applyBorder="1" applyAlignment="1">
      <alignment horizontal="center" vertical="center"/>
    </xf>
    <xf numFmtId="0" fontId="32" fillId="0" borderId="21" xfId="6" applyFont="1" applyBorder="1" applyAlignment="1">
      <alignment horizontal="center" vertical="center"/>
    </xf>
    <xf numFmtId="3" fontId="12" fillId="4" borderId="14" xfId="7" applyNumberFormat="1" applyFont="1" applyFill="1" applyBorder="1" applyAlignment="1">
      <alignment vertical="center"/>
    </xf>
    <xf numFmtId="3" fontId="12" fillId="4" borderId="0" xfId="7" applyNumberFormat="1" applyFont="1" applyFill="1" applyAlignment="1">
      <alignment vertical="center"/>
    </xf>
    <xf numFmtId="3" fontId="18" fillId="4" borderId="25" xfId="7" applyNumberFormat="1" applyFont="1" applyFill="1" applyBorder="1" applyAlignment="1">
      <alignment vertical="center"/>
    </xf>
    <xf numFmtId="4" fontId="18" fillId="4" borderId="21" xfId="7" applyNumberFormat="1" applyFont="1" applyFill="1" applyBorder="1" applyAlignment="1">
      <alignment vertical="center"/>
    </xf>
    <xf numFmtId="0" fontId="32" fillId="0" borderId="15" xfId="6" applyFont="1" applyBorder="1" applyAlignment="1">
      <alignment horizontal="center" vertical="center"/>
    </xf>
    <xf numFmtId="3" fontId="53" fillId="0" borderId="0" xfId="8" applyNumberFormat="1" applyFont="1"/>
    <xf numFmtId="3" fontId="52" fillId="0" borderId="0" xfId="8" applyNumberFormat="1"/>
    <xf numFmtId="0" fontId="12" fillId="12" borderId="26" xfId="9" applyFont="1" applyFill="1" applyBorder="1" applyAlignment="1">
      <alignment horizontal="center" vertical="center"/>
    </xf>
    <xf numFmtId="0" fontId="12" fillId="12" borderId="22" xfId="9" applyFont="1" applyFill="1" applyBorder="1" applyAlignment="1">
      <alignment horizontal="left" vertical="center"/>
    </xf>
    <xf numFmtId="3" fontId="12" fillId="4" borderId="32" xfId="7" applyNumberFormat="1" applyFont="1" applyFill="1" applyBorder="1" applyAlignment="1">
      <alignment vertical="center"/>
    </xf>
    <xf numFmtId="4" fontId="18" fillId="4" borderId="26" xfId="6" applyNumberFormat="1" applyFont="1" applyFill="1" applyBorder="1" applyAlignment="1">
      <alignment vertical="center"/>
    </xf>
    <xf numFmtId="4" fontId="12" fillId="4" borderId="26" xfId="7" applyNumberFormat="1" applyFont="1" applyFill="1" applyBorder="1" applyAlignment="1">
      <alignment vertical="center"/>
    </xf>
    <xf numFmtId="3" fontId="5" fillId="5" borderId="2" xfId="7" applyNumberFormat="1" applyFont="1" applyFill="1" applyBorder="1" applyAlignment="1">
      <alignment horizontal="right" vertical="center"/>
    </xf>
    <xf numFmtId="4" fontId="5" fillId="5" borderId="8" xfId="7" applyNumberFormat="1" applyFont="1" applyFill="1" applyBorder="1" applyAlignment="1">
      <alignment horizontal="right" vertical="center"/>
    </xf>
    <xf numFmtId="3" fontId="10" fillId="0" borderId="0" xfId="7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0" fontId="52" fillId="0" borderId="0" xfId="8" applyAlignment="1">
      <alignment horizontal="right"/>
    </xf>
    <xf numFmtId="2" fontId="52" fillId="0" borderId="0" xfId="8" applyNumberFormat="1"/>
    <xf numFmtId="3" fontId="54" fillId="0" borderId="0" xfId="8" applyNumberFormat="1" applyFont="1"/>
    <xf numFmtId="0" fontId="12" fillId="4" borderId="10" xfId="1" applyFont="1" applyFill="1" applyBorder="1" applyAlignment="1">
      <alignment vertical="center" wrapText="1"/>
    </xf>
    <xf numFmtId="0" fontId="12" fillId="4" borderId="12" xfId="1" applyFont="1" applyFill="1" applyBorder="1" applyAlignment="1">
      <alignment vertical="center" wrapText="1"/>
    </xf>
    <xf numFmtId="0" fontId="5" fillId="7" borderId="13" xfId="1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center"/>
    </xf>
    <xf numFmtId="0" fontId="12" fillId="0" borderId="13" xfId="1" applyFont="1" applyBorder="1" applyAlignment="1">
      <alignment horizontal="left" vertical="top" wrapText="1"/>
    </xf>
    <xf numFmtId="0" fontId="10" fillId="0" borderId="13" xfId="1" applyFont="1" applyBorder="1" applyAlignment="1">
      <alignment horizontal="left" vertical="center" wrapText="1"/>
    </xf>
    <xf numFmtId="0" fontId="31" fillId="7" borderId="9" xfId="1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/>
    </xf>
    <xf numFmtId="4" fontId="3" fillId="0" borderId="0" xfId="1" applyNumberFormat="1" applyFont="1" applyAlignment="1">
      <alignment wrapText="1"/>
    </xf>
    <xf numFmtId="4" fontId="35" fillId="0" borderId="0" xfId="1" applyNumberFormat="1" applyFont="1" applyAlignment="1">
      <alignment horizontal="left" wrapText="1"/>
    </xf>
    <xf numFmtId="4" fontId="2" fillId="0" borderId="0" xfId="1" applyNumberFormat="1"/>
    <xf numFmtId="49" fontId="10" fillId="4" borderId="9" xfId="1" applyNumberFormat="1" applyFont="1" applyFill="1" applyBorder="1" applyAlignment="1">
      <alignment horizontal="center" vertical="center"/>
    </xf>
    <xf numFmtId="49" fontId="12" fillId="4" borderId="9" xfId="1" applyNumberFormat="1" applyFont="1" applyFill="1" applyBorder="1" applyAlignment="1">
      <alignment horizontal="center" vertical="center"/>
    </xf>
    <xf numFmtId="49" fontId="12" fillId="4" borderId="9" xfId="1" applyNumberFormat="1" applyFont="1" applyFill="1" applyBorder="1" applyAlignment="1">
      <alignment horizontal="center" vertical="center" wrapText="1"/>
    </xf>
    <xf numFmtId="49" fontId="5" fillId="4" borderId="9" xfId="1" applyNumberFormat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 wrapText="1"/>
    </xf>
    <xf numFmtId="49" fontId="10" fillId="4" borderId="9" xfId="1" applyNumberFormat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left" vertical="center" wrapText="1"/>
    </xf>
    <xf numFmtId="49" fontId="10" fillId="4" borderId="13" xfId="1" applyNumberFormat="1" applyFont="1" applyFill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" fontId="18" fillId="4" borderId="13" xfId="1" applyNumberFormat="1" applyFont="1" applyFill="1" applyBorder="1" applyAlignment="1">
      <alignment horizontal="right" vertical="center" wrapText="1"/>
    </xf>
    <xf numFmtId="49" fontId="18" fillId="4" borderId="13" xfId="1" applyNumberFormat="1" applyFont="1" applyFill="1" applyBorder="1" applyAlignment="1">
      <alignment horizontal="center" vertical="center"/>
    </xf>
    <xf numFmtId="4" fontId="12" fillId="4" borderId="13" xfId="1" applyNumberFormat="1" applyFont="1" applyFill="1" applyBorder="1" applyAlignment="1">
      <alignment horizontal="right" vertical="center" wrapText="1"/>
    </xf>
    <xf numFmtId="49" fontId="12" fillId="4" borderId="13" xfId="1" applyNumberFormat="1" applyFont="1" applyFill="1" applyBorder="1" applyAlignment="1">
      <alignment horizontal="center" vertical="center"/>
    </xf>
    <xf numFmtId="49" fontId="18" fillId="4" borderId="9" xfId="1" applyNumberFormat="1" applyFont="1" applyFill="1" applyBorder="1" applyAlignment="1">
      <alignment horizontal="center" vertical="center"/>
    </xf>
    <xf numFmtId="4" fontId="18" fillId="4" borderId="9" xfId="1" applyNumberFormat="1" applyFont="1" applyFill="1" applyBorder="1" applyAlignment="1">
      <alignment horizontal="right" vertical="center"/>
    </xf>
    <xf numFmtId="4" fontId="18" fillId="4" borderId="9" xfId="1" applyNumberFormat="1" applyFont="1" applyFill="1" applyBorder="1" applyAlignment="1">
      <alignment horizontal="right" vertical="center" wrapText="1"/>
    </xf>
    <xf numFmtId="3" fontId="12" fillId="4" borderId="9" xfId="1" applyNumberFormat="1" applyFont="1" applyFill="1" applyBorder="1" applyAlignment="1">
      <alignment horizontal="right" vertical="center" wrapText="1"/>
    </xf>
    <xf numFmtId="3" fontId="12" fillId="4" borderId="13" xfId="1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49" fontId="12" fillId="0" borderId="13" xfId="1" applyNumberFormat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49" fontId="17" fillId="4" borderId="13" xfId="1" applyNumberFormat="1" applyFont="1" applyFill="1" applyBorder="1" applyAlignment="1">
      <alignment horizontal="center" vertical="center"/>
    </xf>
    <xf numFmtId="49" fontId="12" fillId="4" borderId="13" xfId="1" applyNumberFormat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left" vertical="top" wrapText="1"/>
    </xf>
    <xf numFmtId="0" fontId="10" fillId="0" borderId="12" xfId="1" applyFont="1" applyBorder="1" applyAlignment="1">
      <alignment horizontal="left" vertical="center" wrapText="1"/>
    </xf>
    <xf numFmtId="4" fontId="12" fillId="4" borderId="1" xfId="1" applyNumberFormat="1" applyFont="1" applyFill="1" applyBorder="1" applyAlignment="1">
      <alignment horizontal="right" vertical="center"/>
    </xf>
    <xf numFmtId="4" fontId="12" fillId="4" borderId="13" xfId="1" applyNumberFormat="1" applyFont="1" applyFill="1" applyBorder="1" applyAlignment="1">
      <alignment horizontal="right" vertical="center"/>
    </xf>
    <xf numFmtId="3" fontId="18" fillId="4" borderId="13" xfId="1" applyNumberFormat="1" applyFont="1" applyFill="1" applyBorder="1" applyAlignment="1">
      <alignment horizontal="right" vertical="center" wrapText="1"/>
    </xf>
    <xf numFmtId="0" fontId="53" fillId="0" borderId="0" xfId="10" applyFont="1" applyAlignment="1">
      <alignment horizontal="center" vertical="center"/>
    </xf>
    <xf numFmtId="0" fontId="53" fillId="0" borderId="0" xfId="10" applyFont="1" applyAlignment="1">
      <alignment vertical="center"/>
    </xf>
    <xf numFmtId="0" fontId="55" fillId="0" borderId="0" xfId="10" applyFont="1" applyAlignment="1">
      <alignment vertical="center" wrapText="1"/>
    </xf>
    <xf numFmtId="4" fontId="55" fillId="0" borderId="0" xfId="10" applyNumberFormat="1" applyFont="1" applyAlignment="1">
      <alignment vertical="center" wrapText="1"/>
    </xf>
    <xf numFmtId="10" fontId="55" fillId="0" borderId="0" xfId="10" applyNumberFormat="1" applyFont="1" applyAlignment="1">
      <alignment vertical="center" wrapText="1"/>
    </xf>
    <xf numFmtId="0" fontId="56" fillId="0" borderId="0" xfId="10" applyFont="1"/>
    <xf numFmtId="0" fontId="58" fillId="0" borderId="0" xfId="10" applyFont="1" applyAlignment="1">
      <alignment vertical="center" wrapText="1"/>
    </xf>
    <xf numFmtId="4" fontId="58" fillId="0" borderId="0" xfId="10" applyNumberFormat="1" applyFont="1" applyAlignment="1">
      <alignment vertical="center" wrapText="1"/>
    </xf>
    <xf numFmtId="10" fontId="58" fillId="0" borderId="0" xfId="10" applyNumberFormat="1" applyFont="1" applyAlignment="1">
      <alignment vertical="center" wrapText="1"/>
    </xf>
    <xf numFmtId="0" fontId="59" fillId="0" borderId="0" xfId="10" applyFont="1" applyAlignment="1">
      <alignment horizontal="center" vertical="center"/>
    </xf>
    <xf numFmtId="0" fontId="56" fillId="0" borderId="0" xfId="10" applyFont="1" applyAlignment="1">
      <alignment horizontal="center" vertical="center"/>
    </xf>
    <xf numFmtId="0" fontId="56" fillId="0" borderId="0" xfId="10" applyFont="1" applyAlignment="1">
      <alignment vertical="center"/>
    </xf>
    <xf numFmtId="3" fontId="2" fillId="0" borderId="0" xfId="10" applyNumberFormat="1" applyFont="1" applyAlignment="1">
      <alignment horizontal="right" vertical="center"/>
    </xf>
    <xf numFmtId="4" fontId="2" fillId="0" borderId="0" xfId="10" applyNumberFormat="1" applyFont="1" applyAlignment="1">
      <alignment horizontal="right" vertical="center"/>
    </xf>
    <xf numFmtId="10" fontId="9" fillId="0" borderId="0" xfId="10" applyNumberFormat="1" applyFont="1" applyAlignment="1">
      <alignment horizontal="right" vertical="center"/>
    </xf>
    <xf numFmtId="0" fontId="5" fillId="13" borderId="8" xfId="10" applyFont="1" applyFill="1" applyBorder="1" applyAlignment="1">
      <alignment horizontal="center" vertical="center" wrapText="1"/>
    </xf>
    <xf numFmtId="0" fontId="5" fillId="13" borderId="7" xfId="10" applyFont="1" applyFill="1" applyBorder="1" applyAlignment="1">
      <alignment horizontal="center" vertical="center" wrapText="1"/>
    </xf>
    <xf numFmtId="0" fontId="5" fillId="13" borderId="2" xfId="10" applyFont="1" applyFill="1" applyBorder="1" applyAlignment="1">
      <alignment horizontal="center" vertical="center" wrapText="1"/>
    </xf>
    <xf numFmtId="3" fontId="5" fillId="13" borderId="8" xfId="10" applyNumberFormat="1" applyFont="1" applyFill="1" applyBorder="1" applyAlignment="1">
      <alignment horizontal="center" vertical="center"/>
    </xf>
    <xf numFmtId="4" fontId="5" fillId="13" borderId="8" xfId="10" applyNumberFormat="1" applyFont="1" applyFill="1" applyBorder="1" applyAlignment="1">
      <alignment horizontal="center" vertical="center"/>
    </xf>
    <xf numFmtId="10" fontId="5" fillId="13" borderId="8" xfId="10" applyNumberFormat="1" applyFont="1" applyFill="1" applyBorder="1" applyAlignment="1">
      <alignment horizontal="center" vertical="center"/>
    </xf>
    <xf numFmtId="0" fontId="40" fillId="5" borderId="8" xfId="10" quotePrefix="1" applyFont="1" applyFill="1" applyBorder="1" applyAlignment="1">
      <alignment horizontal="center" vertical="center" wrapText="1"/>
    </xf>
    <xf numFmtId="0" fontId="40" fillId="5" borderId="7" xfId="10" quotePrefix="1" applyFont="1" applyFill="1" applyBorder="1" applyAlignment="1">
      <alignment horizontal="center" vertical="center" wrapText="1"/>
    </xf>
    <xf numFmtId="0" fontId="40" fillId="5" borderId="2" xfId="10" applyFont="1" applyFill="1" applyBorder="1" applyAlignment="1">
      <alignment vertical="center" wrapText="1"/>
    </xf>
    <xf numFmtId="3" fontId="13" fillId="5" borderId="3" xfId="10" applyNumberFormat="1" applyFont="1" applyFill="1" applyBorder="1" applyAlignment="1">
      <alignment horizontal="right" vertical="center"/>
    </xf>
    <xf numFmtId="4" fontId="13" fillId="5" borderId="3" xfId="10" applyNumberFormat="1" applyFont="1" applyFill="1" applyBorder="1" applyAlignment="1">
      <alignment horizontal="right" vertical="center"/>
    </xf>
    <xf numFmtId="10" fontId="13" fillId="5" borderId="3" xfId="10" applyNumberFormat="1" applyFont="1" applyFill="1" applyBorder="1" applyAlignment="1">
      <alignment horizontal="right" vertical="center"/>
    </xf>
    <xf numFmtId="0" fontId="52" fillId="0" borderId="0" xfId="10"/>
    <xf numFmtId="0" fontId="60" fillId="0" borderId="3" xfId="10" quotePrefix="1" applyFont="1" applyBorder="1" applyAlignment="1">
      <alignment vertical="center" wrapText="1"/>
    </xf>
    <xf numFmtId="49" fontId="61" fillId="3" borderId="5" xfId="10" applyNumberFormat="1" applyFont="1" applyFill="1" applyBorder="1" applyAlignment="1">
      <alignment horizontal="center" vertical="center" wrapText="1"/>
    </xf>
    <xf numFmtId="0" fontId="61" fillId="3" borderId="8" xfId="10" applyFont="1" applyFill="1" applyBorder="1" applyAlignment="1">
      <alignment vertical="center" wrapText="1"/>
    </xf>
    <xf numFmtId="0" fontId="61" fillId="3" borderId="2" xfId="10" applyFont="1" applyFill="1" applyBorder="1" applyAlignment="1">
      <alignment vertical="center" wrapText="1"/>
    </xf>
    <xf numFmtId="3" fontId="13" fillId="3" borderId="3" xfId="10" applyNumberFormat="1" applyFont="1" applyFill="1" applyBorder="1" applyAlignment="1">
      <alignment horizontal="right" vertical="center"/>
    </xf>
    <xf numFmtId="4" fontId="13" fillId="3" borderId="3" xfId="10" applyNumberFormat="1" applyFont="1" applyFill="1" applyBorder="1" applyAlignment="1">
      <alignment horizontal="right" vertical="center"/>
    </xf>
    <xf numFmtId="10" fontId="13" fillId="3" borderId="3" xfId="10" applyNumberFormat="1" applyFont="1" applyFill="1" applyBorder="1" applyAlignment="1">
      <alignment horizontal="right" vertical="center"/>
    </xf>
    <xf numFmtId="0" fontId="60" fillId="0" borderId="9" xfId="10" quotePrefix="1" applyFont="1" applyBorder="1" applyAlignment="1">
      <alignment vertical="center" wrapText="1"/>
    </xf>
    <xf numFmtId="0" fontId="41" fillId="7" borderId="6" xfId="10" applyFont="1" applyFill="1" applyBorder="1" applyAlignment="1">
      <alignment vertical="center" wrapText="1"/>
    </xf>
    <xf numFmtId="3" fontId="9" fillId="7" borderId="3" xfId="10" applyNumberFormat="1" applyFont="1" applyFill="1" applyBorder="1" applyAlignment="1">
      <alignment horizontal="right" vertical="center"/>
    </xf>
    <xf numFmtId="4" fontId="9" fillId="7" borderId="3" xfId="10" applyNumberFormat="1" applyFont="1" applyFill="1" applyBorder="1" applyAlignment="1">
      <alignment horizontal="right" vertical="center"/>
    </xf>
    <xf numFmtId="10" fontId="9" fillId="7" borderId="33" xfId="10" applyNumberFormat="1" applyFont="1" applyFill="1" applyBorder="1" applyAlignment="1">
      <alignment horizontal="right" vertical="center"/>
    </xf>
    <xf numFmtId="49" fontId="43" fillId="4" borderId="21" xfId="10" applyNumberFormat="1" applyFont="1" applyFill="1" applyBorder="1" applyAlignment="1">
      <alignment horizontal="center" vertical="center" wrapText="1"/>
    </xf>
    <xf numFmtId="3" fontId="2" fillId="4" borderId="21" xfId="10" applyNumberFormat="1" applyFont="1" applyFill="1" applyBorder="1" applyAlignment="1">
      <alignment horizontal="right" vertical="center"/>
    </xf>
    <xf numFmtId="4" fontId="2" fillId="4" borderId="21" xfId="10" applyNumberFormat="1" applyFont="1" applyFill="1" applyBorder="1" applyAlignment="1">
      <alignment horizontal="right" vertical="center"/>
    </xf>
    <xf numFmtId="10" fontId="9" fillId="0" borderId="9" xfId="10" applyNumberFormat="1" applyFont="1" applyBorder="1" applyAlignment="1">
      <alignment horizontal="right" vertical="center"/>
    </xf>
    <xf numFmtId="49" fontId="43" fillId="4" borderId="23" xfId="10" applyNumberFormat="1" applyFont="1" applyFill="1" applyBorder="1" applyAlignment="1">
      <alignment horizontal="center" vertical="center" wrapText="1"/>
    </xf>
    <xf numFmtId="3" fontId="2" fillId="0" borderId="21" xfId="10" applyNumberFormat="1" applyFont="1" applyBorder="1" applyAlignment="1">
      <alignment horizontal="right" vertical="center"/>
    </xf>
    <xf numFmtId="4" fontId="2" fillId="0" borderId="21" xfId="10" applyNumberFormat="1" applyFont="1" applyBorder="1" applyAlignment="1">
      <alignment horizontal="right" vertical="center"/>
    </xf>
    <xf numFmtId="10" fontId="2" fillId="0" borderId="21" xfId="10" applyNumberFormat="1" applyFont="1" applyBorder="1" applyAlignment="1">
      <alignment horizontal="right" vertical="center"/>
    </xf>
    <xf numFmtId="10" fontId="6" fillId="0" borderId="21" xfId="10" applyNumberFormat="1" applyFont="1" applyBorder="1" applyAlignment="1">
      <alignment horizontal="right" vertical="center"/>
    </xf>
    <xf numFmtId="49" fontId="43" fillId="4" borderId="14" xfId="10" applyNumberFormat="1" applyFont="1" applyFill="1" applyBorder="1" applyAlignment="1">
      <alignment horizontal="center" vertical="center" wrapText="1"/>
    </xf>
    <xf numFmtId="0" fontId="41" fillId="7" borderId="25" xfId="10" applyFont="1" applyFill="1" applyBorder="1" applyAlignment="1">
      <alignment vertical="center" wrapText="1"/>
    </xf>
    <xf numFmtId="3" fontId="9" fillId="7" borderId="21" xfId="10" applyNumberFormat="1" applyFont="1" applyFill="1" applyBorder="1" applyAlignment="1">
      <alignment horizontal="right" vertical="center"/>
    </xf>
    <xf numFmtId="4" fontId="9" fillId="7" borderId="21" xfId="10" applyNumberFormat="1" applyFont="1" applyFill="1" applyBorder="1" applyAlignment="1">
      <alignment horizontal="right" vertical="center"/>
    </xf>
    <xf numFmtId="10" fontId="9" fillId="7" borderId="21" xfId="10" applyNumberFormat="1" applyFont="1" applyFill="1" applyBorder="1" applyAlignment="1">
      <alignment horizontal="right" vertical="center"/>
    </xf>
    <xf numFmtId="0" fontId="41" fillId="0" borderId="13" xfId="10" applyFont="1" applyBorder="1" applyAlignment="1">
      <alignment horizontal="left" vertical="center" wrapText="1"/>
    </xf>
    <xf numFmtId="0" fontId="43" fillId="0" borderId="1" xfId="10" applyFont="1" applyBorder="1" applyAlignment="1">
      <alignment horizontal="left" vertical="center" wrapText="1"/>
    </xf>
    <xf numFmtId="49" fontId="43" fillId="0" borderId="23" xfId="10" applyNumberFormat="1" applyFont="1" applyBorder="1" applyAlignment="1">
      <alignment horizontal="center" vertical="center" wrapText="1"/>
    </xf>
    <xf numFmtId="3" fontId="2" fillId="0" borderId="15" xfId="10" applyNumberFormat="1" applyFont="1" applyBorder="1" applyAlignment="1">
      <alignment horizontal="right" vertical="center"/>
    </xf>
    <xf numFmtId="4" fontId="2" fillId="0" borderId="15" xfId="10" applyNumberFormat="1" applyFont="1" applyBorder="1" applyAlignment="1">
      <alignment horizontal="right" vertical="center"/>
    </xf>
    <xf numFmtId="10" fontId="2" fillId="0" borderId="15" xfId="10" applyNumberFormat="1" applyFont="1" applyBorder="1" applyAlignment="1">
      <alignment horizontal="right" vertical="center"/>
    </xf>
    <xf numFmtId="0" fontId="41" fillId="7" borderId="24" xfId="10" quotePrefix="1" applyFont="1" applyFill="1" applyBorder="1" applyAlignment="1">
      <alignment horizontal="left" vertical="center" wrapText="1"/>
    </xf>
    <xf numFmtId="3" fontId="9" fillId="7" borderId="33" xfId="10" applyNumberFormat="1" applyFont="1" applyFill="1" applyBorder="1" applyAlignment="1">
      <alignment horizontal="right" vertical="center"/>
    </xf>
    <xf numFmtId="4" fontId="9" fillId="7" borderId="33" xfId="10" applyNumberFormat="1" applyFont="1" applyFill="1" applyBorder="1" applyAlignment="1">
      <alignment horizontal="right" vertical="center"/>
    </xf>
    <xf numFmtId="0" fontId="43" fillId="0" borderId="14" xfId="10" applyFont="1" applyBorder="1" applyAlignment="1">
      <alignment horizontal="left" vertical="center" wrapText="1"/>
    </xf>
    <xf numFmtId="0" fontId="43" fillId="0" borderId="25" xfId="10" quotePrefix="1" applyFont="1" applyBorder="1" applyAlignment="1">
      <alignment horizontal="left" vertical="center" wrapText="1"/>
    </xf>
    <xf numFmtId="49" fontId="43" fillId="0" borderId="21" xfId="10" quotePrefix="1" applyNumberFormat="1" applyFont="1" applyBorder="1" applyAlignment="1">
      <alignment horizontal="center" vertical="center" wrapText="1"/>
    </xf>
    <xf numFmtId="3" fontId="2" fillId="0" borderId="9" xfId="10" applyNumberFormat="1" applyFont="1" applyBorder="1" applyAlignment="1">
      <alignment horizontal="right" vertical="center"/>
    </xf>
    <xf numFmtId="4" fontId="2" fillId="0" borderId="9" xfId="10" applyNumberFormat="1" applyFont="1" applyBorder="1" applyAlignment="1">
      <alignment horizontal="right" vertical="center"/>
    </xf>
    <xf numFmtId="10" fontId="2" fillId="0" borderId="9" xfId="10" applyNumberFormat="1" applyFont="1" applyBorder="1" applyAlignment="1">
      <alignment horizontal="right" vertical="center"/>
    </xf>
    <xf numFmtId="0" fontId="41" fillId="4" borderId="9" xfId="10" applyFont="1" applyFill="1" applyBorder="1" applyAlignment="1">
      <alignment vertical="center" wrapText="1"/>
    </xf>
    <xf numFmtId="0" fontId="43" fillId="0" borderId="16" xfId="10" quotePrefix="1" applyFont="1" applyBorder="1" applyAlignment="1">
      <alignment horizontal="left" vertical="center" wrapText="1"/>
    </xf>
    <xf numFmtId="0" fontId="43" fillId="4" borderId="20" xfId="10" quotePrefix="1" applyFont="1" applyFill="1" applyBorder="1" applyAlignment="1">
      <alignment horizontal="center" vertical="center" wrapText="1"/>
    </xf>
    <xf numFmtId="0" fontId="41" fillId="4" borderId="15" xfId="10" applyFont="1" applyFill="1" applyBorder="1" applyAlignment="1">
      <alignment vertical="center" wrapText="1"/>
    </xf>
    <xf numFmtId="0" fontId="43" fillId="0" borderId="27" xfId="10" quotePrefix="1" applyFont="1" applyBorder="1" applyAlignment="1">
      <alignment horizontal="left" vertical="center" wrapText="1"/>
    </xf>
    <xf numFmtId="0" fontId="43" fillId="4" borderId="17" xfId="10" quotePrefix="1" applyFont="1" applyFill="1" applyBorder="1" applyAlignment="1">
      <alignment horizontal="center" vertical="center" wrapText="1"/>
    </xf>
    <xf numFmtId="0" fontId="60" fillId="0" borderId="13" xfId="10" quotePrefix="1" applyFont="1" applyBorder="1" applyAlignment="1">
      <alignment vertical="center" wrapText="1"/>
    </xf>
    <xf numFmtId="0" fontId="41" fillId="7" borderId="32" xfId="10" quotePrefix="1" applyFont="1" applyFill="1" applyBorder="1" applyAlignment="1">
      <alignment horizontal="left" vertical="center" wrapText="1"/>
    </xf>
    <xf numFmtId="3" fontId="9" fillId="7" borderId="26" xfId="10" applyNumberFormat="1" applyFont="1" applyFill="1" applyBorder="1" applyAlignment="1">
      <alignment horizontal="right" vertical="center"/>
    </xf>
    <xf numFmtId="4" fontId="9" fillId="7" borderId="26" xfId="10" applyNumberFormat="1" applyFont="1" applyFill="1" applyBorder="1" applyAlignment="1">
      <alignment horizontal="right" vertical="center"/>
    </xf>
    <xf numFmtId="10" fontId="9" fillId="7" borderId="26" xfId="10" applyNumberFormat="1" applyFont="1" applyFill="1" applyBorder="1" applyAlignment="1">
      <alignment horizontal="right" vertical="center"/>
    </xf>
    <xf numFmtId="49" fontId="41" fillId="7" borderId="23" xfId="10" applyNumberFormat="1" applyFont="1" applyFill="1" applyBorder="1" applyAlignment="1">
      <alignment horizontal="left" vertical="center" wrapText="1"/>
    </xf>
    <xf numFmtId="49" fontId="61" fillId="0" borderId="18" xfId="10" applyNumberFormat="1" applyFont="1" applyBorder="1" applyAlignment="1">
      <alignment vertical="center" wrapText="1"/>
    </xf>
    <xf numFmtId="0" fontId="43" fillId="0" borderId="20" xfId="10" applyFont="1" applyBorder="1" applyAlignment="1">
      <alignment vertical="center" wrapText="1"/>
    </xf>
    <xf numFmtId="49" fontId="43" fillId="4" borderId="25" xfId="10" applyNumberFormat="1" applyFont="1" applyFill="1" applyBorder="1" applyAlignment="1">
      <alignment horizontal="center" vertical="center" wrapText="1"/>
    </xf>
    <xf numFmtId="49" fontId="61" fillId="0" borderId="15" xfId="10" applyNumberFormat="1" applyFont="1" applyBorder="1" applyAlignment="1">
      <alignment vertical="center" wrapText="1"/>
    </xf>
    <xf numFmtId="0" fontId="43" fillId="4" borderId="27" xfId="10" applyFont="1" applyFill="1" applyBorder="1" applyAlignment="1">
      <alignment vertical="center" wrapText="1"/>
    </xf>
    <xf numFmtId="49" fontId="61" fillId="0" borderId="9" xfId="10" applyNumberFormat="1" applyFont="1" applyBorder="1" applyAlignment="1">
      <alignment vertical="center" wrapText="1"/>
    </xf>
    <xf numFmtId="0" fontId="43" fillId="4" borderId="0" xfId="10" applyFont="1" applyFill="1" applyAlignment="1">
      <alignment vertical="center" wrapText="1"/>
    </xf>
    <xf numFmtId="0" fontId="43" fillId="4" borderId="35" xfId="10" applyFont="1" applyFill="1" applyBorder="1" applyAlignment="1">
      <alignment vertical="center" wrapText="1"/>
    </xf>
    <xf numFmtId="49" fontId="43" fillId="4" borderId="70" xfId="10" applyNumberFormat="1" applyFont="1" applyFill="1" applyBorder="1" applyAlignment="1">
      <alignment horizontal="center" vertical="center" wrapText="1"/>
    </xf>
    <xf numFmtId="3" fontId="2" fillId="0" borderId="18" xfId="10" applyNumberFormat="1" applyFont="1" applyBorder="1" applyAlignment="1">
      <alignment horizontal="right" vertical="center"/>
    </xf>
    <xf numFmtId="4" fontId="2" fillId="0" borderId="18" xfId="10" applyNumberFormat="1" applyFont="1" applyBorder="1" applyAlignment="1">
      <alignment horizontal="right" vertical="center"/>
    </xf>
    <xf numFmtId="10" fontId="2" fillId="0" borderId="18" xfId="10" applyNumberFormat="1" applyFont="1" applyBorder="1" applyAlignment="1">
      <alignment horizontal="right" vertical="center"/>
    </xf>
    <xf numFmtId="49" fontId="41" fillId="7" borderId="70" xfId="10" applyNumberFormat="1" applyFont="1" applyFill="1" applyBorder="1" applyAlignment="1">
      <alignment horizontal="left" vertical="center" wrapText="1"/>
    </xf>
    <xf numFmtId="3" fontId="9" fillId="7" borderId="18" xfId="10" applyNumberFormat="1" applyFont="1" applyFill="1" applyBorder="1" applyAlignment="1">
      <alignment horizontal="right" vertical="center"/>
    </xf>
    <xf numFmtId="4" fontId="9" fillId="7" borderId="18" xfId="10" applyNumberFormat="1" applyFont="1" applyFill="1" applyBorder="1" applyAlignment="1">
      <alignment horizontal="right" vertical="center"/>
    </xf>
    <xf numFmtId="10" fontId="9" fillId="7" borderId="18" xfId="10" applyNumberFormat="1" applyFont="1" applyFill="1" applyBorder="1" applyAlignment="1">
      <alignment horizontal="right" vertical="center"/>
    </xf>
    <xf numFmtId="49" fontId="41" fillId="0" borderId="32" xfId="10" applyNumberFormat="1" applyFont="1" applyBorder="1" applyAlignment="1">
      <alignment horizontal="left" vertical="center" wrapText="1"/>
    </xf>
    <xf numFmtId="0" fontId="43" fillId="4" borderId="26" xfId="10" applyFont="1" applyFill="1" applyBorder="1" applyAlignment="1">
      <alignment vertical="center" wrapText="1"/>
    </xf>
    <xf numFmtId="49" fontId="43" fillId="4" borderId="32" xfId="10" applyNumberFormat="1" applyFont="1" applyFill="1" applyBorder="1" applyAlignment="1">
      <alignment horizontal="center" vertical="center" wrapText="1"/>
    </xf>
    <xf numFmtId="3" fontId="2" fillId="0" borderId="26" xfId="10" applyNumberFormat="1" applyFont="1" applyBorder="1" applyAlignment="1">
      <alignment horizontal="right" vertical="center"/>
    </xf>
    <xf numFmtId="4" fontId="2" fillId="0" borderId="26" xfId="10" applyNumberFormat="1" applyFont="1" applyBorder="1" applyAlignment="1">
      <alignment horizontal="right" vertical="center"/>
    </xf>
    <xf numFmtId="10" fontId="2" fillId="0" borderId="26" xfId="10" applyNumberFormat="1" applyFont="1" applyBorder="1" applyAlignment="1">
      <alignment horizontal="right" vertical="center"/>
    </xf>
    <xf numFmtId="49" fontId="61" fillId="3" borderId="8" xfId="10" applyNumberFormat="1" applyFont="1" applyFill="1" applyBorder="1" applyAlignment="1">
      <alignment horizontal="center" vertical="center" wrapText="1"/>
    </xf>
    <xf numFmtId="0" fontId="62" fillId="3" borderId="8" xfId="10" applyFont="1" applyFill="1" applyBorder="1" applyAlignment="1">
      <alignment vertical="center" wrapText="1"/>
    </xf>
    <xf numFmtId="3" fontId="13" fillId="3" borderId="8" xfId="10" applyNumberFormat="1" applyFont="1" applyFill="1" applyBorder="1" applyAlignment="1">
      <alignment horizontal="right" vertical="center"/>
    </xf>
    <xf numFmtId="4" fontId="13" fillId="3" borderId="8" xfId="10" applyNumberFormat="1" applyFont="1" applyFill="1" applyBorder="1" applyAlignment="1">
      <alignment horizontal="right" vertical="center"/>
    </xf>
    <xf numFmtId="10" fontId="13" fillId="3" borderId="8" xfId="10" applyNumberFormat="1" applyFont="1" applyFill="1" applyBorder="1" applyAlignment="1">
      <alignment horizontal="right" vertical="center"/>
    </xf>
    <xf numFmtId="0" fontId="63" fillId="7" borderId="25" xfId="10" quotePrefix="1" applyFont="1" applyFill="1" applyBorder="1" applyAlignment="1">
      <alignment horizontal="left" vertical="center" wrapText="1"/>
    </xf>
    <xf numFmtId="0" fontId="43" fillId="0" borderId="21" xfId="10" applyFont="1" applyBorder="1" applyAlignment="1">
      <alignment horizontal="left" vertical="center" wrapText="1"/>
    </xf>
    <xf numFmtId="0" fontId="43" fillId="0" borderId="15" xfId="10" applyFont="1" applyBorder="1" applyAlignment="1">
      <alignment horizontal="left" vertical="center" wrapText="1"/>
    </xf>
    <xf numFmtId="49" fontId="43" fillId="0" borderId="23" xfId="10" quotePrefix="1" applyNumberFormat="1" applyFont="1" applyBorder="1" applyAlignment="1">
      <alignment horizontal="center" vertical="center" wrapText="1"/>
    </xf>
    <xf numFmtId="0" fontId="43" fillId="0" borderId="10" xfId="10" applyFont="1" applyBorder="1" applyAlignment="1">
      <alignment vertical="center" wrapText="1"/>
    </xf>
    <xf numFmtId="0" fontId="43" fillId="4" borderId="9" xfId="10" applyFont="1" applyFill="1" applyBorder="1" applyAlignment="1">
      <alignment horizontal="center" vertical="center" wrapText="1"/>
    </xf>
    <xf numFmtId="0" fontId="43" fillId="4" borderId="21" xfId="10" applyFont="1" applyFill="1" applyBorder="1" applyAlignment="1">
      <alignment horizontal="center" vertical="center" wrapText="1"/>
    </xf>
    <xf numFmtId="0" fontId="43" fillId="0" borderId="35" xfId="10" applyFont="1" applyBorder="1" applyAlignment="1">
      <alignment vertical="center" wrapText="1"/>
    </xf>
    <xf numFmtId="0" fontId="43" fillId="4" borderId="70" xfId="10" applyFont="1" applyFill="1" applyBorder="1" applyAlignment="1">
      <alignment horizontal="center" vertical="center" wrapText="1"/>
    </xf>
    <xf numFmtId="49" fontId="40" fillId="5" borderId="8" xfId="10" applyNumberFormat="1" applyFont="1" applyFill="1" applyBorder="1" applyAlignment="1">
      <alignment horizontal="center" vertical="center" wrapText="1"/>
    </xf>
    <xf numFmtId="49" fontId="40" fillId="5" borderId="7" xfId="10" applyNumberFormat="1" applyFont="1" applyFill="1" applyBorder="1" applyAlignment="1">
      <alignment horizontal="center" vertical="center" wrapText="1"/>
    </xf>
    <xf numFmtId="49" fontId="40" fillId="5" borderId="5" xfId="10" applyNumberFormat="1" applyFont="1" applyFill="1" applyBorder="1" applyAlignment="1">
      <alignment horizontal="left" vertical="center" wrapText="1"/>
    </xf>
    <xf numFmtId="49" fontId="40" fillId="5" borderId="2" xfId="10" applyNumberFormat="1" applyFont="1" applyFill="1" applyBorder="1" applyAlignment="1">
      <alignment horizontal="left" vertical="center" wrapText="1"/>
    </xf>
    <xf numFmtId="49" fontId="61" fillId="3" borderId="7" xfId="10" applyNumberFormat="1" applyFont="1" applyFill="1" applyBorder="1" applyAlignment="1">
      <alignment horizontal="center" vertical="center" wrapText="1"/>
    </xf>
    <xf numFmtId="0" fontId="43" fillId="0" borderId="21" xfId="10" applyFont="1" applyBorder="1" applyAlignment="1">
      <alignment vertical="center" wrapText="1"/>
    </xf>
    <xf numFmtId="0" fontId="41" fillId="7" borderId="11" xfId="10" quotePrefix="1" applyFont="1" applyFill="1" applyBorder="1" applyAlignment="1">
      <alignment horizontal="left" vertical="center" wrapText="1"/>
    </xf>
    <xf numFmtId="49" fontId="60" fillId="5" borderId="2" xfId="10" applyNumberFormat="1" applyFont="1" applyFill="1" applyBorder="1" applyAlignment="1">
      <alignment horizontal="left" vertical="center" wrapText="1"/>
    </xf>
    <xf numFmtId="3" fontId="13" fillId="5" borderId="8" xfId="10" applyNumberFormat="1" applyFont="1" applyFill="1" applyBorder="1" applyAlignment="1">
      <alignment horizontal="right" vertical="center"/>
    </xf>
    <xf numFmtId="4" fontId="13" fillId="5" borderId="8" xfId="10" applyNumberFormat="1" applyFont="1" applyFill="1" applyBorder="1" applyAlignment="1">
      <alignment horizontal="right" vertical="center"/>
    </xf>
    <xf numFmtId="10" fontId="13" fillId="5" borderId="8" xfId="10" applyNumberFormat="1" applyFont="1" applyFill="1" applyBorder="1" applyAlignment="1">
      <alignment horizontal="right" vertical="center"/>
    </xf>
    <xf numFmtId="49" fontId="61" fillId="3" borderId="4" xfId="10" applyNumberFormat="1" applyFont="1" applyFill="1" applyBorder="1" applyAlignment="1">
      <alignment horizontal="center" vertical="center" wrapText="1"/>
    </xf>
    <xf numFmtId="0" fontId="61" fillId="3" borderId="3" xfId="10" applyFont="1" applyFill="1" applyBorder="1" applyAlignment="1">
      <alignment vertical="center" wrapText="1"/>
    </xf>
    <xf numFmtId="0" fontId="64" fillId="3" borderId="6" xfId="10" applyFont="1" applyFill="1" applyBorder="1" applyAlignment="1">
      <alignment vertical="center" wrapText="1"/>
    </xf>
    <xf numFmtId="0" fontId="43" fillId="4" borderId="35" xfId="10" quotePrefix="1" applyFont="1" applyFill="1" applyBorder="1" applyAlignment="1">
      <alignment horizontal="left" vertical="center" wrapText="1"/>
    </xf>
    <xf numFmtId="10" fontId="2" fillId="4" borderId="21" xfId="10" applyNumberFormat="1" applyFont="1" applyFill="1" applyBorder="1" applyAlignment="1">
      <alignment horizontal="right" vertical="center"/>
    </xf>
    <xf numFmtId="0" fontId="43" fillId="4" borderId="19" xfId="10" applyFont="1" applyFill="1" applyBorder="1" applyAlignment="1">
      <alignment vertical="center" wrapText="1"/>
    </xf>
    <xf numFmtId="0" fontId="41" fillId="7" borderId="70" xfId="10" quotePrefix="1" applyFont="1" applyFill="1" applyBorder="1" applyAlignment="1">
      <alignment horizontal="left" vertical="center" wrapText="1"/>
    </xf>
    <xf numFmtId="3" fontId="9" fillId="7" borderId="9" xfId="10" applyNumberFormat="1" applyFont="1" applyFill="1" applyBorder="1" applyAlignment="1">
      <alignment horizontal="right" vertical="center"/>
    </xf>
    <xf numFmtId="4" fontId="9" fillId="7" borderId="9" xfId="10" applyNumberFormat="1" applyFont="1" applyFill="1" applyBorder="1" applyAlignment="1">
      <alignment horizontal="right" vertical="center"/>
    </xf>
    <xf numFmtId="10" fontId="9" fillId="7" borderId="9" xfId="10" applyNumberFormat="1" applyFont="1" applyFill="1" applyBorder="1" applyAlignment="1">
      <alignment horizontal="right" vertical="center"/>
    </xf>
    <xf numFmtId="49" fontId="40" fillId="5" borderId="2" xfId="10" applyNumberFormat="1" applyFont="1" applyFill="1" applyBorder="1" applyAlignment="1">
      <alignment horizontal="center" vertical="center" wrapText="1"/>
    </xf>
    <xf numFmtId="49" fontId="40" fillId="5" borderId="8" xfId="10" applyNumberFormat="1" applyFont="1" applyFill="1" applyBorder="1" applyAlignment="1">
      <alignment horizontal="left" vertical="center" wrapText="1"/>
    </xf>
    <xf numFmtId="3" fontId="13" fillId="5" borderId="5" xfId="10" applyNumberFormat="1" applyFont="1" applyFill="1" applyBorder="1" applyAlignment="1">
      <alignment horizontal="right" vertical="center"/>
    </xf>
    <xf numFmtId="4" fontId="13" fillId="5" borderId="5" xfId="10" applyNumberFormat="1" applyFont="1" applyFill="1" applyBorder="1" applyAlignment="1">
      <alignment horizontal="right" vertical="center"/>
    </xf>
    <xf numFmtId="0" fontId="61" fillId="3" borderId="5" xfId="10" applyFont="1" applyFill="1" applyBorder="1" applyAlignment="1">
      <alignment vertical="center" wrapText="1"/>
    </xf>
    <xf numFmtId="3" fontId="13" fillId="3" borderId="5" xfId="10" applyNumberFormat="1" applyFont="1" applyFill="1" applyBorder="1" applyAlignment="1">
      <alignment horizontal="right" vertical="center"/>
    </xf>
    <xf numFmtId="4" fontId="13" fillId="3" borderId="5" xfId="10" applyNumberFormat="1" applyFont="1" applyFill="1" applyBorder="1" applyAlignment="1">
      <alignment horizontal="right" vertical="center"/>
    </xf>
    <xf numFmtId="0" fontId="41" fillId="7" borderId="15" xfId="10" quotePrefix="1" applyFont="1" applyFill="1" applyBorder="1" applyAlignment="1">
      <alignment horizontal="left" vertical="center" wrapText="1"/>
    </xf>
    <xf numFmtId="3" fontId="9" fillId="7" borderId="15" xfId="10" applyNumberFormat="1" applyFont="1" applyFill="1" applyBorder="1" applyAlignment="1">
      <alignment horizontal="right" vertical="center"/>
    </xf>
    <xf numFmtId="4" fontId="9" fillId="7" borderId="15" xfId="10" applyNumberFormat="1" applyFont="1" applyFill="1" applyBorder="1" applyAlignment="1">
      <alignment horizontal="right" vertical="center"/>
    </xf>
    <xf numFmtId="10" fontId="9" fillId="7" borderId="16" xfId="10" applyNumberFormat="1" applyFont="1" applyFill="1" applyBorder="1" applyAlignment="1">
      <alignment horizontal="right" vertical="center"/>
    </xf>
    <xf numFmtId="0" fontId="41" fillId="4" borderId="18" xfId="10" applyFont="1" applyFill="1" applyBorder="1" applyAlignment="1">
      <alignment vertical="center" wrapText="1"/>
    </xf>
    <xf numFmtId="0" fontId="43" fillId="4" borderId="21" xfId="10" quotePrefix="1" applyFont="1" applyFill="1" applyBorder="1" applyAlignment="1">
      <alignment horizontal="center" vertical="center" wrapText="1"/>
    </xf>
    <xf numFmtId="10" fontId="2" fillId="0" borderId="27" xfId="10" applyNumberFormat="1" applyFont="1" applyBorder="1" applyAlignment="1">
      <alignment horizontal="right" vertical="center"/>
    </xf>
    <xf numFmtId="0" fontId="41" fillId="4" borderId="13" xfId="10" applyFont="1" applyFill="1" applyBorder="1" applyAlignment="1">
      <alignment vertical="center" wrapText="1"/>
    </xf>
    <xf numFmtId="0" fontId="43" fillId="4" borderId="31" xfId="10" quotePrefix="1" applyFont="1" applyFill="1" applyBorder="1" applyAlignment="1">
      <alignment vertical="center" wrapText="1"/>
    </xf>
    <xf numFmtId="0" fontId="43" fillId="4" borderId="26" xfId="10" quotePrefix="1" applyFont="1" applyFill="1" applyBorder="1" applyAlignment="1">
      <alignment horizontal="center" vertical="center" wrapText="1"/>
    </xf>
    <xf numFmtId="10" fontId="2" fillId="0" borderId="31" xfId="10" applyNumberFormat="1" applyFont="1" applyBorder="1" applyAlignment="1">
      <alignment horizontal="right" vertical="center"/>
    </xf>
    <xf numFmtId="0" fontId="43" fillId="4" borderId="17" xfId="10" quotePrefix="1" applyFont="1" applyFill="1" applyBorder="1" applyAlignment="1">
      <alignment vertical="center" wrapText="1"/>
    </xf>
    <xf numFmtId="0" fontId="43" fillId="4" borderId="15" xfId="10" quotePrefix="1" applyFont="1" applyFill="1" applyBorder="1" applyAlignment="1">
      <alignment horizontal="center" vertical="center" wrapText="1"/>
    </xf>
    <xf numFmtId="10" fontId="2" fillId="0" borderId="16" xfId="10" applyNumberFormat="1" applyFont="1" applyBorder="1" applyAlignment="1">
      <alignment horizontal="right" vertical="center"/>
    </xf>
    <xf numFmtId="10" fontId="2" fillId="7" borderId="16" xfId="10" applyNumberFormat="1" applyFont="1" applyFill="1" applyBorder="1" applyAlignment="1">
      <alignment horizontal="right" vertical="center"/>
    </xf>
    <xf numFmtId="0" fontId="43" fillId="4" borderId="20" xfId="10" quotePrefix="1" applyFont="1" applyFill="1" applyBorder="1" applyAlignment="1">
      <alignment horizontal="left" vertical="center" wrapText="1"/>
    </xf>
    <xf numFmtId="0" fontId="43" fillId="4" borderId="22" xfId="10" quotePrefix="1" applyFont="1" applyFill="1" applyBorder="1" applyAlignment="1">
      <alignment horizontal="left" vertical="center" wrapText="1"/>
    </xf>
    <xf numFmtId="49" fontId="64" fillId="3" borderId="15" xfId="10" applyNumberFormat="1" applyFont="1" applyFill="1" applyBorder="1" applyAlignment="1">
      <alignment horizontal="center" vertical="center" wrapText="1"/>
    </xf>
    <xf numFmtId="0" fontId="64" fillId="3" borderId="15" xfId="10" applyFont="1" applyFill="1" applyBorder="1" applyAlignment="1">
      <alignment vertical="center" wrapText="1"/>
    </xf>
    <xf numFmtId="0" fontId="64" fillId="3" borderId="23" xfId="10" applyFont="1" applyFill="1" applyBorder="1" applyAlignment="1">
      <alignment vertical="center" wrapText="1"/>
    </xf>
    <xf numFmtId="3" fontId="65" fillId="3" borderId="15" xfId="10" applyNumberFormat="1" applyFont="1" applyFill="1" applyBorder="1" applyAlignment="1">
      <alignment horizontal="right" vertical="center"/>
    </xf>
    <xf numFmtId="4" fontId="65" fillId="3" borderId="15" xfId="10" applyNumberFormat="1" applyFont="1" applyFill="1" applyBorder="1" applyAlignment="1">
      <alignment horizontal="right" vertical="center"/>
    </xf>
    <xf numFmtId="10" fontId="65" fillId="3" borderId="15" xfId="10" applyNumberFormat="1" applyFont="1" applyFill="1" applyBorder="1" applyAlignment="1">
      <alignment horizontal="right" vertical="center"/>
    </xf>
    <xf numFmtId="0" fontId="63" fillId="7" borderId="14" xfId="10" quotePrefix="1" applyFont="1" applyFill="1" applyBorder="1" applyAlignment="1">
      <alignment horizontal="left" vertical="center" wrapText="1"/>
    </xf>
    <xf numFmtId="3" fontId="27" fillId="7" borderId="9" xfId="10" applyNumberFormat="1" applyFont="1" applyFill="1" applyBorder="1" applyAlignment="1">
      <alignment horizontal="right" vertical="center"/>
    </xf>
    <xf numFmtId="4" fontId="27" fillId="7" borderId="9" xfId="10" applyNumberFormat="1" applyFont="1" applyFill="1" applyBorder="1" applyAlignment="1">
      <alignment horizontal="right" vertical="center"/>
    </xf>
    <xf numFmtId="10" fontId="27" fillId="7" borderId="9" xfId="10" applyNumberFormat="1" applyFont="1" applyFill="1" applyBorder="1" applyAlignment="1">
      <alignment horizontal="right" vertical="center"/>
    </xf>
    <xf numFmtId="0" fontId="63" fillId="4" borderId="18" xfId="10" applyFont="1" applyFill="1" applyBorder="1" applyAlignment="1">
      <alignment vertical="center" wrapText="1"/>
    </xf>
    <xf numFmtId="0" fontId="55" fillId="4" borderId="39" xfId="10" quotePrefix="1" applyFont="1" applyFill="1" applyBorder="1" applyAlignment="1">
      <alignment vertical="center" wrapText="1"/>
    </xf>
    <xf numFmtId="0" fontId="55" fillId="4" borderId="41" xfId="10" quotePrefix="1" applyFont="1" applyFill="1" applyBorder="1" applyAlignment="1">
      <alignment horizontal="center" vertical="center" wrapText="1"/>
    </xf>
    <xf numFmtId="3" fontId="6" fillId="0" borderId="41" xfId="10" applyNumberFormat="1" applyFont="1" applyBorder="1" applyAlignment="1">
      <alignment horizontal="right" vertical="center"/>
    </xf>
    <xf numFmtId="4" fontId="6" fillId="0" borderId="41" xfId="10" applyNumberFormat="1" applyFont="1" applyBorder="1" applyAlignment="1">
      <alignment horizontal="right" vertical="center"/>
    </xf>
    <xf numFmtId="10" fontId="6" fillId="0" borderId="42" xfId="10" applyNumberFormat="1" applyFont="1" applyBorder="1" applyAlignment="1">
      <alignment horizontal="right" vertical="center"/>
    </xf>
    <xf numFmtId="0" fontId="63" fillId="4" borderId="9" xfId="10" applyFont="1" applyFill="1" applyBorder="1" applyAlignment="1">
      <alignment vertical="center" wrapText="1"/>
    </xf>
    <xf numFmtId="0" fontId="63" fillId="4" borderId="15" xfId="10" applyFont="1" applyFill="1" applyBorder="1" applyAlignment="1">
      <alignment vertical="center" wrapText="1"/>
    </xf>
    <xf numFmtId="0" fontId="55" fillId="4" borderId="27" xfId="10" applyFont="1" applyFill="1" applyBorder="1" applyAlignment="1">
      <alignment vertical="center" wrapText="1"/>
    </xf>
    <xf numFmtId="3" fontId="27" fillId="7" borderId="41" xfId="10" applyNumberFormat="1" applyFont="1" applyFill="1" applyBorder="1" applyAlignment="1">
      <alignment horizontal="right" vertical="center"/>
    </xf>
    <xf numFmtId="4" fontId="27" fillId="7" borderId="41" xfId="10" applyNumberFormat="1" applyFont="1" applyFill="1" applyBorder="1" applyAlignment="1">
      <alignment horizontal="right" vertical="center"/>
    </xf>
    <xf numFmtId="10" fontId="27" fillId="7" borderId="42" xfId="10" applyNumberFormat="1" applyFont="1" applyFill="1" applyBorder="1" applyAlignment="1">
      <alignment horizontal="right" vertical="center"/>
    </xf>
    <xf numFmtId="0" fontId="63" fillId="4" borderId="12" xfId="10" applyFont="1" applyFill="1" applyBorder="1" applyAlignment="1">
      <alignment vertical="center" wrapText="1"/>
    </xf>
    <xf numFmtId="0" fontId="55" fillId="4" borderId="11" xfId="10" quotePrefix="1" applyFont="1" applyFill="1" applyBorder="1" applyAlignment="1">
      <alignment horizontal="left" vertical="center" wrapText="1"/>
    </xf>
    <xf numFmtId="0" fontId="55" fillId="4" borderId="11" xfId="10" quotePrefix="1" applyFont="1" applyFill="1" applyBorder="1" applyAlignment="1">
      <alignment horizontal="center" vertical="center" wrapText="1"/>
    </xf>
    <xf numFmtId="3" fontId="6" fillId="0" borderId="9" xfId="10" applyNumberFormat="1" applyFont="1" applyBorder="1" applyAlignment="1">
      <alignment horizontal="right" vertical="center"/>
    </xf>
    <xf numFmtId="4" fontId="6" fillId="0" borderId="9" xfId="10" applyNumberFormat="1" applyFont="1" applyBorder="1" applyAlignment="1">
      <alignment horizontal="right" vertical="center"/>
    </xf>
    <xf numFmtId="10" fontId="6" fillId="0" borderId="9" xfId="10" applyNumberFormat="1" applyFont="1" applyBorder="1" applyAlignment="1">
      <alignment horizontal="right" vertical="center"/>
    </xf>
    <xf numFmtId="0" fontId="40" fillId="5" borderId="8" xfId="10" applyFont="1" applyFill="1" applyBorder="1" applyAlignment="1">
      <alignment horizontal="center" vertical="center" wrapText="1"/>
    </xf>
    <xf numFmtId="0" fontId="40" fillId="5" borderId="7" xfId="10" applyFont="1" applyFill="1" applyBorder="1" applyAlignment="1">
      <alignment horizontal="center" vertical="center" wrapText="1"/>
    </xf>
    <xf numFmtId="0" fontId="40" fillId="5" borderId="8" xfId="10" applyFont="1" applyFill="1" applyBorder="1" applyAlignment="1">
      <alignment vertical="center" wrapText="1"/>
    </xf>
    <xf numFmtId="0" fontId="55" fillId="0" borderId="3" xfId="10" applyFont="1" applyBorder="1" applyAlignment="1">
      <alignment vertical="center" wrapText="1"/>
    </xf>
    <xf numFmtId="0" fontId="61" fillId="3" borderId="7" xfId="10" applyFont="1" applyFill="1" applyBorder="1" applyAlignment="1">
      <alignment horizontal="center" vertical="center" wrapText="1"/>
    </xf>
    <xf numFmtId="0" fontId="55" fillId="0" borderId="9" xfId="10" applyFont="1" applyBorder="1" applyAlignment="1">
      <alignment vertical="center" wrapText="1"/>
    </xf>
    <xf numFmtId="0" fontId="41" fillId="7" borderId="33" xfId="10" quotePrefix="1" applyFont="1" applyFill="1" applyBorder="1" applyAlignment="1">
      <alignment horizontal="left" vertical="center" wrapText="1"/>
    </xf>
    <xf numFmtId="0" fontId="41" fillId="4" borderId="9" xfId="10" applyFont="1" applyFill="1" applyBorder="1" applyAlignment="1">
      <alignment horizontal="center" vertical="center" wrapText="1"/>
    </xf>
    <xf numFmtId="0" fontId="43" fillId="0" borderId="17" xfId="10" applyFont="1" applyBorder="1" applyAlignment="1">
      <alignment vertical="center"/>
    </xf>
    <xf numFmtId="49" fontId="43" fillId="4" borderId="15" xfId="10" applyNumberFormat="1" applyFont="1" applyFill="1" applyBorder="1" applyAlignment="1">
      <alignment horizontal="center" vertical="center"/>
    </xf>
    <xf numFmtId="49" fontId="43" fillId="4" borderId="21" xfId="10" applyNumberFormat="1" applyFont="1" applyFill="1" applyBorder="1" applyAlignment="1">
      <alignment horizontal="center" vertical="center"/>
    </xf>
    <xf numFmtId="0" fontId="66" fillId="0" borderId="15" xfId="8" applyFont="1" applyBorder="1" applyAlignment="1">
      <alignment vertical="center" wrapText="1"/>
    </xf>
    <xf numFmtId="0" fontId="43" fillId="4" borderId="17" xfId="10" applyFont="1" applyFill="1" applyBorder="1" applyAlignment="1">
      <alignment horizontal="left" vertical="center" wrapText="1"/>
    </xf>
    <xf numFmtId="49" fontId="43" fillId="4" borderId="15" xfId="10" applyNumberFormat="1" applyFont="1" applyFill="1" applyBorder="1" applyAlignment="1">
      <alignment horizontal="center" vertical="center" wrapText="1"/>
    </xf>
    <xf numFmtId="49" fontId="43" fillId="4" borderId="18" xfId="10" applyNumberFormat="1" applyFont="1" applyFill="1" applyBorder="1" applyAlignment="1">
      <alignment horizontal="center" vertical="center" wrapText="1"/>
    </xf>
    <xf numFmtId="0" fontId="55" fillId="0" borderId="13" xfId="10" applyFont="1" applyBorder="1" applyAlignment="1">
      <alignment vertical="center" wrapText="1"/>
    </xf>
    <xf numFmtId="0" fontId="41" fillId="4" borderId="13" xfId="10" applyFont="1" applyFill="1" applyBorder="1" applyAlignment="1">
      <alignment horizontal="center" vertical="center" wrapText="1"/>
    </xf>
    <xf numFmtId="0" fontId="43" fillId="0" borderId="26" xfId="10" applyFont="1" applyBorder="1" applyAlignment="1">
      <alignment vertical="center" wrapText="1"/>
    </xf>
    <xf numFmtId="49" fontId="43" fillId="4" borderId="26" xfId="10" applyNumberFormat="1" applyFont="1" applyFill="1" applyBorder="1" applyAlignment="1">
      <alignment horizontal="center" vertical="center" wrapText="1"/>
    </xf>
    <xf numFmtId="0" fontId="41" fillId="4" borderId="3" xfId="10" applyFont="1" applyFill="1" applyBorder="1" applyAlignment="1">
      <alignment horizontal="center" vertical="center" wrapText="1"/>
    </xf>
    <xf numFmtId="0" fontId="43" fillId="0" borderId="33" xfId="10" applyFont="1" applyBorder="1" applyAlignment="1">
      <alignment vertical="center" wrapText="1"/>
    </xf>
    <xf numFmtId="49" fontId="43" fillId="4" borderId="3" xfId="10" applyNumberFormat="1" applyFont="1" applyFill="1" applyBorder="1" applyAlignment="1">
      <alignment horizontal="center" vertical="center" wrapText="1"/>
    </xf>
    <xf numFmtId="3" fontId="2" fillId="0" borderId="3" xfId="10" applyNumberFormat="1" applyFont="1" applyBorder="1" applyAlignment="1">
      <alignment horizontal="right" vertical="center"/>
    </xf>
    <xf numFmtId="4" fontId="2" fillId="0" borderId="3" xfId="10" applyNumberFormat="1" applyFont="1" applyBorder="1" applyAlignment="1">
      <alignment horizontal="right" vertical="center"/>
    </xf>
    <xf numFmtId="10" fontId="2" fillId="0" borderId="3" xfId="10" applyNumberFormat="1" applyFont="1" applyBorder="1" applyAlignment="1">
      <alignment horizontal="right" vertical="center"/>
    </xf>
    <xf numFmtId="0" fontId="41" fillId="7" borderId="21" xfId="10" applyFont="1" applyFill="1" applyBorder="1" applyAlignment="1">
      <alignment horizontal="left" vertical="center" wrapText="1"/>
    </xf>
    <xf numFmtId="0" fontId="63" fillId="0" borderId="26" xfId="10" applyFont="1" applyBorder="1" applyAlignment="1">
      <alignment horizontal="center" vertical="center" wrapText="1"/>
    </xf>
    <xf numFmtId="0" fontId="55" fillId="0" borderId="22" xfId="10" applyFont="1" applyBorder="1" applyAlignment="1">
      <alignment horizontal="left" vertical="center" wrapText="1"/>
    </xf>
    <xf numFmtId="0" fontId="55" fillId="0" borderId="26" xfId="10" applyFont="1" applyBorder="1" applyAlignment="1">
      <alignment horizontal="center" vertical="center" wrapText="1"/>
    </xf>
    <xf numFmtId="3" fontId="6" fillId="0" borderId="26" xfId="10" applyNumberFormat="1" applyFont="1" applyBorder="1" applyAlignment="1">
      <alignment horizontal="right" vertical="center"/>
    </xf>
    <xf numFmtId="4" fontId="6" fillId="0" borderId="26" xfId="10" applyNumberFormat="1" applyFont="1" applyBorder="1" applyAlignment="1">
      <alignment horizontal="right" vertical="center"/>
    </xf>
    <xf numFmtId="10" fontId="6" fillId="0" borderId="26" xfId="10" applyNumberFormat="1" applyFont="1" applyBorder="1" applyAlignment="1">
      <alignment horizontal="right" vertical="center"/>
    </xf>
    <xf numFmtId="10" fontId="2" fillId="7" borderId="15" xfId="10" applyNumberFormat="1" applyFont="1" applyFill="1" applyBorder="1" applyAlignment="1">
      <alignment horizontal="right" vertical="center"/>
    </xf>
    <xf numFmtId="10" fontId="2" fillId="7" borderId="21" xfId="10" applyNumberFormat="1" applyFont="1" applyFill="1" applyBorder="1" applyAlignment="1">
      <alignment horizontal="right" vertical="center"/>
    </xf>
    <xf numFmtId="0" fontId="43" fillId="0" borderId="21" xfId="10" applyFont="1" applyBorder="1" applyAlignment="1">
      <alignment horizontal="center" vertical="center" wrapText="1"/>
    </xf>
    <xf numFmtId="0" fontId="43" fillId="0" borderId="17" xfId="10" applyFont="1" applyBorder="1" applyAlignment="1">
      <alignment horizontal="left" vertical="center" wrapText="1"/>
    </xf>
    <xf numFmtId="0" fontId="43" fillId="4" borderId="23" xfId="10" applyFont="1" applyFill="1" applyBorder="1" applyAlignment="1">
      <alignment horizontal="center" vertical="center" wrapText="1"/>
    </xf>
    <xf numFmtId="0" fontId="43" fillId="0" borderId="15" xfId="10" applyFont="1" applyBorder="1" applyAlignment="1">
      <alignment vertical="center" wrapText="1"/>
    </xf>
    <xf numFmtId="49" fontId="43" fillId="4" borderId="9" xfId="10" applyNumberFormat="1" applyFont="1" applyFill="1" applyBorder="1" applyAlignment="1">
      <alignment horizontal="center" vertical="center" wrapText="1"/>
    </xf>
    <xf numFmtId="0" fontId="41" fillId="0" borderId="26" xfId="10" applyFont="1" applyBorder="1" applyAlignment="1">
      <alignment vertical="center" wrapText="1"/>
    </xf>
    <xf numFmtId="0" fontId="43" fillId="0" borderId="1" xfId="10" quotePrefix="1" applyFont="1" applyBorder="1" applyAlignment="1">
      <alignment horizontal="left" vertical="center" wrapText="1"/>
    </xf>
    <xf numFmtId="49" fontId="43" fillId="0" borderId="11" xfId="10" quotePrefix="1" applyNumberFormat="1" applyFont="1" applyBorder="1" applyAlignment="1">
      <alignment horizontal="center" vertical="center" wrapText="1"/>
    </xf>
    <xf numFmtId="3" fontId="2" fillId="0" borderId="13" xfId="10" applyNumberFormat="1" applyFont="1" applyBorder="1" applyAlignment="1">
      <alignment horizontal="right" vertical="center"/>
    </xf>
    <xf numFmtId="4" fontId="2" fillId="0" borderId="13" xfId="10" applyNumberFormat="1" applyFont="1" applyBorder="1" applyAlignment="1">
      <alignment horizontal="right" vertical="center"/>
    </xf>
    <xf numFmtId="10" fontId="9" fillId="0" borderId="13" xfId="10" applyNumberFormat="1" applyFont="1" applyBorder="1" applyAlignment="1">
      <alignment horizontal="right" vertical="center"/>
    </xf>
    <xf numFmtId="0" fontId="41" fillId="0" borderId="3" xfId="10" applyFont="1" applyBorder="1" applyAlignment="1">
      <alignment vertical="center" wrapText="1"/>
    </xf>
    <xf numFmtId="0" fontId="43" fillId="0" borderId="34" xfId="10" applyFont="1" applyBorder="1" applyAlignment="1">
      <alignment vertical="center" wrapText="1"/>
    </xf>
    <xf numFmtId="49" fontId="43" fillId="4" borderId="24" xfId="10" applyNumberFormat="1" applyFont="1" applyFill="1" applyBorder="1" applyAlignment="1">
      <alignment horizontal="center" vertical="center" wrapText="1"/>
    </xf>
    <xf numFmtId="3" fontId="2" fillId="0" borderId="33" xfId="10" applyNumberFormat="1" applyFont="1" applyBorder="1" applyAlignment="1">
      <alignment horizontal="right" vertical="center"/>
    </xf>
    <xf numFmtId="4" fontId="2" fillId="0" borderId="33" xfId="10" applyNumberFormat="1" applyFont="1" applyBorder="1" applyAlignment="1">
      <alignment horizontal="right" vertical="center"/>
    </xf>
    <xf numFmtId="10" fontId="2" fillId="0" borderId="33" xfId="10" applyNumberFormat="1" applyFont="1" applyBorder="1" applyAlignment="1">
      <alignment horizontal="right" vertical="center"/>
    </xf>
    <xf numFmtId="0" fontId="41" fillId="0" borderId="9" xfId="10" applyFont="1" applyBorder="1" applyAlignment="1">
      <alignment vertical="center" wrapText="1"/>
    </xf>
    <xf numFmtId="0" fontId="41" fillId="0" borderId="15" xfId="10" applyFont="1" applyBorder="1" applyAlignment="1">
      <alignment vertical="center" wrapText="1"/>
    </xf>
    <xf numFmtId="0" fontId="41" fillId="7" borderId="14" xfId="10" quotePrefix="1" applyFont="1" applyFill="1" applyBorder="1" applyAlignment="1">
      <alignment horizontal="left" vertical="center" wrapText="1"/>
    </xf>
    <xf numFmtId="10" fontId="9" fillId="7" borderId="3" xfId="10" applyNumberFormat="1" applyFont="1" applyFill="1" applyBorder="1" applyAlignment="1">
      <alignment horizontal="right" vertical="center"/>
    </xf>
    <xf numFmtId="0" fontId="43" fillId="0" borderId="19" xfId="10" applyFont="1" applyBorder="1" applyAlignment="1">
      <alignment horizontal="left" vertical="center" wrapText="1"/>
    </xf>
    <xf numFmtId="49" fontId="43" fillId="4" borderId="25" xfId="10" quotePrefix="1" applyNumberFormat="1" applyFont="1" applyFill="1" applyBorder="1" applyAlignment="1">
      <alignment horizontal="center" vertical="center" wrapText="1"/>
    </xf>
    <xf numFmtId="10" fontId="9" fillId="4" borderId="21" xfId="10" applyNumberFormat="1" applyFont="1" applyFill="1" applyBorder="1" applyAlignment="1">
      <alignment horizontal="right" vertical="center"/>
    </xf>
    <xf numFmtId="0" fontId="43" fillId="0" borderId="35" xfId="10" applyFont="1" applyBorder="1" applyAlignment="1">
      <alignment horizontal="left" vertical="center" wrapText="1"/>
    </xf>
    <xf numFmtId="49" fontId="43" fillId="4" borderId="70" xfId="10" quotePrefix="1" applyNumberFormat="1" applyFont="1" applyFill="1" applyBorder="1" applyAlignment="1">
      <alignment horizontal="center" vertical="center" wrapText="1"/>
    </xf>
    <xf numFmtId="3" fontId="9" fillId="7" borderId="13" xfId="10" applyNumberFormat="1" applyFont="1" applyFill="1" applyBorder="1" applyAlignment="1">
      <alignment horizontal="right" vertical="center"/>
    </xf>
    <xf numFmtId="4" fontId="9" fillId="7" borderId="13" xfId="10" applyNumberFormat="1" applyFont="1" applyFill="1" applyBorder="1" applyAlignment="1">
      <alignment horizontal="right" vertical="center"/>
    </xf>
    <xf numFmtId="10" fontId="9" fillId="7" borderId="13" xfId="10" applyNumberFormat="1" applyFont="1" applyFill="1" applyBorder="1" applyAlignment="1">
      <alignment horizontal="right" vertical="center"/>
    </xf>
    <xf numFmtId="0" fontId="67" fillId="0" borderId="9" xfId="10" applyFont="1" applyBorder="1" applyAlignment="1">
      <alignment vertical="center" wrapText="1"/>
    </xf>
    <xf numFmtId="0" fontId="68" fillId="3" borderId="8" xfId="10" applyFont="1" applyFill="1" applyBorder="1" applyAlignment="1">
      <alignment horizontal="center" vertical="center" wrapText="1"/>
    </xf>
    <xf numFmtId="0" fontId="68" fillId="3" borderId="8" xfId="10" applyFont="1" applyFill="1" applyBorder="1" applyAlignment="1">
      <alignment vertical="center" wrapText="1"/>
    </xf>
    <xf numFmtId="0" fontId="68" fillId="3" borderId="2" xfId="10" applyFont="1" applyFill="1" applyBorder="1" applyAlignment="1">
      <alignment vertical="center" wrapText="1"/>
    </xf>
    <xf numFmtId="3" fontId="24" fillId="3" borderId="3" xfId="10" applyNumberFormat="1" applyFont="1" applyFill="1" applyBorder="1" applyAlignment="1">
      <alignment horizontal="right" vertical="center"/>
    </xf>
    <xf numFmtId="4" fontId="24" fillId="3" borderId="3" xfId="10" applyNumberFormat="1" applyFont="1" applyFill="1" applyBorder="1" applyAlignment="1">
      <alignment horizontal="right" vertical="center"/>
    </xf>
    <xf numFmtId="10" fontId="24" fillId="3" borderId="3" xfId="10" applyNumberFormat="1" applyFont="1" applyFill="1" applyBorder="1" applyAlignment="1">
      <alignment horizontal="right" vertical="center"/>
    </xf>
    <xf numFmtId="0" fontId="69" fillId="7" borderId="24" xfId="10" quotePrefix="1" applyFont="1" applyFill="1" applyBorder="1" applyAlignment="1">
      <alignment horizontal="left" vertical="center" wrapText="1"/>
    </xf>
    <xf numFmtId="3" fontId="36" fillId="7" borderId="33" xfId="10" applyNumberFormat="1" applyFont="1" applyFill="1" applyBorder="1" applyAlignment="1">
      <alignment horizontal="right" vertical="center"/>
    </xf>
    <xf numFmtId="4" fontId="36" fillId="7" borderId="33" xfId="10" applyNumberFormat="1" applyFont="1" applyFill="1" applyBorder="1" applyAlignment="1">
      <alignment horizontal="right" vertical="center"/>
    </xf>
    <xf numFmtId="10" fontId="36" fillId="7" borderId="33" xfId="10" applyNumberFormat="1" applyFont="1" applyFill="1" applyBorder="1" applyAlignment="1">
      <alignment horizontal="right" vertical="center"/>
    </xf>
    <xf numFmtId="0" fontId="70" fillId="4" borderId="9" xfId="10" applyFont="1" applyFill="1" applyBorder="1" applyAlignment="1">
      <alignment vertical="center" wrapText="1"/>
    </xf>
    <xf numFmtId="49" fontId="67" fillId="4" borderId="21" xfId="10" quotePrefix="1" applyNumberFormat="1" applyFont="1" applyFill="1" applyBorder="1" applyAlignment="1">
      <alignment horizontal="center" vertical="center" wrapText="1"/>
    </xf>
    <xf numFmtId="3" fontId="21" fillId="4" borderId="18" xfId="10" applyNumberFormat="1" applyFont="1" applyFill="1" applyBorder="1" applyAlignment="1">
      <alignment horizontal="right" vertical="center"/>
    </xf>
    <xf numFmtId="4" fontId="21" fillId="4" borderId="18" xfId="10" applyNumberFormat="1" applyFont="1" applyFill="1" applyBorder="1" applyAlignment="1">
      <alignment horizontal="right" vertical="center"/>
    </xf>
    <xf numFmtId="10" fontId="21" fillId="0" borderId="21" xfId="10" applyNumberFormat="1" applyFont="1" applyBorder="1" applyAlignment="1">
      <alignment horizontal="right" vertical="center"/>
    </xf>
    <xf numFmtId="49" fontId="67" fillId="4" borderId="15" xfId="10" quotePrefix="1" applyNumberFormat="1" applyFont="1" applyFill="1" applyBorder="1" applyAlignment="1">
      <alignment horizontal="center" vertical="center" wrapText="1"/>
    </xf>
    <xf numFmtId="3" fontId="21" fillId="4" borderId="21" xfId="10" applyNumberFormat="1" applyFont="1" applyFill="1" applyBorder="1" applyAlignment="1">
      <alignment horizontal="right" vertical="center"/>
    </xf>
    <xf numFmtId="4" fontId="21" fillId="4" borderId="21" xfId="10" applyNumberFormat="1" applyFont="1" applyFill="1" applyBorder="1" applyAlignment="1">
      <alignment horizontal="right" vertical="center"/>
    </xf>
    <xf numFmtId="3" fontId="21" fillId="0" borderId="21" xfId="10" applyNumberFormat="1" applyFont="1" applyBorder="1" applyAlignment="1">
      <alignment horizontal="right" vertical="center"/>
    </xf>
    <xf numFmtId="4" fontId="21" fillId="0" borderId="21" xfId="10" applyNumberFormat="1" applyFont="1" applyBorder="1" applyAlignment="1">
      <alignment horizontal="right" vertical="center"/>
    </xf>
    <xf numFmtId="49" fontId="67" fillId="4" borderId="23" xfId="10" quotePrefix="1" applyNumberFormat="1" applyFont="1" applyFill="1" applyBorder="1" applyAlignment="1">
      <alignment horizontal="center" vertical="center" wrapText="1"/>
    </xf>
    <xf numFmtId="0" fontId="72" fillId="4" borderId="9" xfId="10" applyFont="1" applyFill="1" applyBorder="1" applyAlignment="1">
      <alignment vertical="center" wrapText="1"/>
    </xf>
    <xf numFmtId="49" fontId="43" fillId="4" borderId="23" xfId="10" quotePrefix="1" applyNumberFormat="1" applyFont="1" applyFill="1" applyBorder="1" applyAlignment="1">
      <alignment horizontal="center" vertical="center" wrapText="1"/>
    </xf>
    <xf numFmtId="0" fontId="73" fillId="4" borderId="25" xfId="10" applyFont="1" applyFill="1" applyBorder="1" applyAlignment="1">
      <alignment horizontal="left" vertical="center" wrapText="1"/>
    </xf>
    <xf numFmtId="0" fontId="67" fillId="0" borderId="13" xfId="10" applyFont="1" applyBorder="1" applyAlignment="1">
      <alignment vertical="center" wrapText="1"/>
    </xf>
    <xf numFmtId="0" fontId="70" fillId="4" borderId="13" xfId="10" applyFont="1" applyFill="1" applyBorder="1" applyAlignment="1">
      <alignment vertical="center" wrapText="1"/>
    </xf>
    <xf numFmtId="0" fontId="67" fillId="4" borderId="1" xfId="10" applyFont="1" applyFill="1" applyBorder="1" applyAlignment="1">
      <alignment horizontal="left" vertical="center" wrapText="1"/>
    </xf>
    <xf numFmtId="49" fontId="67" fillId="4" borderId="11" xfId="10" applyNumberFormat="1" applyFont="1" applyFill="1" applyBorder="1" applyAlignment="1">
      <alignment horizontal="center" vertical="center" wrapText="1"/>
    </xf>
    <xf numFmtId="3" fontId="21" fillId="0" borderId="13" xfId="10" applyNumberFormat="1" applyFont="1" applyBorder="1" applyAlignment="1">
      <alignment horizontal="right" vertical="center"/>
    </xf>
    <xf numFmtId="4" fontId="21" fillId="0" borderId="13" xfId="10" applyNumberFormat="1" applyFont="1" applyBorder="1" applyAlignment="1">
      <alignment horizontal="right" vertical="center"/>
    </xf>
    <xf numFmtId="10" fontId="21" fillId="0" borderId="13" xfId="10" applyNumberFormat="1" applyFont="1" applyBorder="1" applyAlignment="1">
      <alignment horizontal="right" vertical="center"/>
    </xf>
    <xf numFmtId="0" fontId="70" fillId="4" borderId="33" xfId="10" applyFont="1" applyFill="1" applyBorder="1" applyAlignment="1">
      <alignment vertical="center" wrapText="1"/>
    </xf>
    <xf numFmtId="0" fontId="71" fillId="0" borderId="34" xfId="10" applyFont="1" applyBorder="1" applyAlignment="1">
      <alignment horizontal="left" vertical="center" wrapText="1"/>
    </xf>
    <xf numFmtId="49" fontId="67" fillId="4" borderId="24" xfId="10" applyNumberFormat="1" applyFont="1" applyFill="1" applyBorder="1" applyAlignment="1">
      <alignment horizontal="center" vertical="center" wrapText="1"/>
    </xf>
    <xf numFmtId="3" fontId="21" fillId="0" borderId="33" xfId="10" applyNumberFormat="1" applyFont="1" applyBorder="1" applyAlignment="1">
      <alignment horizontal="right" vertical="center"/>
    </xf>
    <xf numFmtId="4" fontId="21" fillId="0" borderId="33" xfId="10" applyNumberFormat="1" applyFont="1" applyBorder="1" applyAlignment="1">
      <alignment horizontal="right" vertical="center"/>
    </xf>
    <xf numFmtId="10" fontId="21" fillId="0" borderId="33" xfId="10" applyNumberFormat="1" applyFont="1" applyBorder="1" applyAlignment="1">
      <alignment horizontal="right" vertical="center"/>
    </xf>
    <xf numFmtId="0" fontId="70" fillId="7" borderId="23" xfId="10" quotePrefix="1" applyFont="1" applyFill="1" applyBorder="1" applyAlignment="1">
      <alignment horizontal="left" vertical="center" wrapText="1"/>
    </xf>
    <xf numFmtId="3" fontId="36" fillId="7" borderId="15" xfId="10" applyNumberFormat="1" applyFont="1" applyFill="1" applyBorder="1" applyAlignment="1">
      <alignment horizontal="right" vertical="center"/>
    </xf>
    <xf numFmtId="4" fontId="36" fillId="7" borderId="15" xfId="10" applyNumberFormat="1" applyFont="1" applyFill="1" applyBorder="1" applyAlignment="1">
      <alignment horizontal="right" vertical="center"/>
    </xf>
    <xf numFmtId="10" fontId="36" fillId="7" borderId="21" xfId="10" applyNumberFormat="1" applyFont="1" applyFill="1" applyBorder="1" applyAlignment="1">
      <alignment horizontal="right" vertical="center"/>
    </xf>
    <xf numFmtId="0" fontId="71" fillId="0" borderId="14" xfId="10" applyFont="1" applyBorder="1" applyAlignment="1">
      <alignment vertical="center" wrapText="1"/>
    </xf>
    <xf numFmtId="0" fontId="69" fillId="4" borderId="18" xfId="10" applyFont="1" applyFill="1" applyBorder="1" applyAlignment="1">
      <alignment vertical="center" wrapText="1"/>
    </xf>
    <xf numFmtId="0" fontId="67" fillId="4" borderId="20" xfId="10" quotePrefix="1" applyFont="1" applyFill="1" applyBorder="1" applyAlignment="1">
      <alignment horizontal="left" vertical="center" wrapText="1"/>
    </xf>
    <xf numFmtId="49" fontId="67" fillId="4" borderId="25" xfId="10" quotePrefix="1" applyNumberFormat="1" applyFont="1" applyFill="1" applyBorder="1" applyAlignment="1">
      <alignment horizontal="center" vertical="center" wrapText="1"/>
    </xf>
    <xf numFmtId="0" fontId="69" fillId="4" borderId="9" xfId="10" applyFont="1" applyFill="1" applyBorder="1" applyAlignment="1">
      <alignment vertical="center" wrapText="1"/>
    </xf>
    <xf numFmtId="0" fontId="67" fillId="4" borderId="21" xfId="10" quotePrefix="1" applyFont="1" applyFill="1" applyBorder="1" applyAlignment="1">
      <alignment horizontal="left" vertical="center" wrapText="1"/>
    </xf>
    <xf numFmtId="49" fontId="67" fillId="4" borderId="70" xfId="10" quotePrefix="1" applyNumberFormat="1" applyFont="1" applyFill="1" applyBorder="1" applyAlignment="1">
      <alignment horizontal="center" vertical="center" wrapText="1"/>
    </xf>
    <xf numFmtId="10" fontId="21" fillId="0" borderId="15" xfId="10" applyNumberFormat="1" applyFont="1" applyBorder="1" applyAlignment="1">
      <alignment horizontal="right" vertical="center"/>
    </xf>
    <xf numFmtId="0" fontId="67" fillId="4" borderId="14" xfId="10" quotePrefix="1" applyFont="1" applyFill="1" applyBorder="1" applyAlignment="1">
      <alignment horizontal="left" vertical="center" wrapText="1"/>
    </xf>
    <xf numFmtId="3" fontId="21" fillId="4" borderId="9" xfId="10" applyNumberFormat="1" applyFont="1" applyFill="1" applyBorder="1" applyAlignment="1">
      <alignment horizontal="right" vertical="center"/>
    </xf>
    <xf numFmtId="4" fontId="21" fillId="0" borderId="9" xfId="10" applyNumberFormat="1" applyFont="1" applyBorder="1" applyAlignment="1">
      <alignment horizontal="right" vertical="center"/>
    </xf>
    <xf numFmtId="10" fontId="21" fillId="4" borderId="15" xfId="10" applyNumberFormat="1" applyFont="1" applyFill="1" applyBorder="1" applyAlignment="1">
      <alignment horizontal="right" vertical="center"/>
    </xf>
    <xf numFmtId="0" fontId="67" fillId="4" borderId="25" xfId="10" quotePrefix="1" applyFont="1" applyFill="1" applyBorder="1" applyAlignment="1">
      <alignment horizontal="left" vertical="center" wrapText="1"/>
    </xf>
    <xf numFmtId="0" fontId="71" fillId="0" borderId="9" xfId="10" applyFont="1" applyBorder="1" applyAlignment="1">
      <alignment horizontal="center" vertical="center" wrapText="1"/>
    </xf>
    <xf numFmtId="0" fontId="69" fillId="4" borderId="9" xfId="10" applyFont="1" applyFill="1" applyBorder="1" applyAlignment="1">
      <alignment horizontal="center" vertical="center" wrapText="1"/>
    </xf>
    <xf numFmtId="3" fontId="21" fillId="4" borderId="27" xfId="10" applyNumberFormat="1" applyFont="1" applyFill="1" applyBorder="1" applyAlignment="1">
      <alignment horizontal="right" vertical="center"/>
    </xf>
    <xf numFmtId="0" fontId="71" fillId="0" borderId="9" xfId="10" applyFont="1" applyBorder="1" applyAlignment="1">
      <alignment vertical="center" wrapText="1"/>
    </xf>
    <xf numFmtId="0" fontId="67" fillId="4" borderId="35" xfId="10" applyFont="1" applyFill="1" applyBorder="1" applyAlignment="1">
      <alignment vertical="center" wrapText="1"/>
    </xf>
    <xf numFmtId="3" fontId="21" fillId="0" borderId="27" xfId="10" applyNumberFormat="1" applyFont="1" applyBorder="1" applyAlignment="1">
      <alignment horizontal="right" vertical="center"/>
    </xf>
    <xf numFmtId="0" fontId="71" fillId="0" borderId="13" xfId="10" applyFont="1" applyBorder="1" applyAlignment="1">
      <alignment vertical="center" wrapText="1"/>
    </xf>
    <xf numFmtId="0" fontId="69" fillId="4" borderId="13" xfId="10" applyFont="1" applyFill="1" applyBorder="1" applyAlignment="1">
      <alignment vertical="center" wrapText="1"/>
    </xf>
    <xf numFmtId="0" fontId="67" fillId="4" borderId="22" xfId="10" applyFont="1" applyFill="1" applyBorder="1" applyAlignment="1">
      <alignment vertical="center" wrapText="1"/>
    </xf>
    <xf numFmtId="3" fontId="21" fillId="0" borderId="31" xfId="10" applyNumberFormat="1" applyFont="1" applyBorder="1" applyAlignment="1">
      <alignment horizontal="right" vertical="center"/>
    </xf>
    <xf numFmtId="3" fontId="21" fillId="0" borderId="26" xfId="10" applyNumberFormat="1" applyFont="1" applyBorder="1" applyAlignment="1">
      <alignment horizontal="right" vertical="center"/>
    </xf>
    <xf numFmtId="4" fontId="21" fillId="0" borderId="26" xfId="10" applyNumberFormat="1" applyFont="1" applyBorder="1" applyAlignment="1">
      <alignment horizontal="right" vertical="center"/>
    </xf>
    <xf numFmtId="10" fontId="21" fillId="0" borderId="26" xfId="10" applyNumberFormat="1" applyFont="1" applyBorder="1" applyAlignment="1">
      <alignment horizontal="right" vertical="center"/>
    </xf>
    <xf numFmtId="0" fontId="71" fillId="0" borderId="15" xfId="10" applyFont="1" applyBorder="1" applyAlignment="1">
      <alignment vertical="center" wrapText="1"/>
    </xf>
    <xf numFmtId="3" fontId="21" fillId="0" borderId="15" xfId="10" applyNumberFormat="1" applyFont="1" applyBorder="1" applyAlignment="1">
      <alignment horizontal="right" vertical="center"/>
    </xf>
    <xf numFmtId="4" fontId="21" fillId="0" borderId="15" xfId="10" applyNumberFormat="1" applyFont="1" applyBorder="1" applyAlignment="1">
      <alignment horizontal="right" vertical="center"/>
    </xf>
    <xf numFmtId="0" fontId="71" fillId="0" borderId="0" xfId="10" applyFont="1" applyAlignment="1">
      <alignment vertical="center" wrapText="1"/>
    </xf>
    <xf numFmtId="3" fontId="21" fillId="0" borderId="16" xfId="10" applyNumberFormat="1" applyFont="1" applyBorder="1" applyAlignment="1">
      <alignment horizontal="right" vertical="center"/>
    </xf>
    <xf numFmtId="0" fontId="71" fillId="4" borderId="35" xfId="10" applyFont="1" applyFill="1" applyBorder="1" applyAlignment="1">
      <alignment vertical="center" wrapText="1"/>
    </xf>
    <xf numFmtId="0" fontId="71" fillId="0" borderId="25" xfId="10" applyFont="1" applyBorder="1" applyAlignment="1">
      <alignment vertical="center" wrapText="1"/>
    </xf>
    <xf numFmtId="0" fontId="71" fillId="4" borderId="21" xfId="10" applyFont="1" applyFill="1" applyBorder="1" applyAlignment="1">
      <alignment vertical="center" wrapText="1"/>
    </xf>
    <xf numFmtId="0" fontId="67" fillId="4" borderId="23" xfId="10" applyFont="1" applyFill="1" applyBorder="1" applyAlignment="1">
      <alignment horizontal="center" vertical="center" wrapText="1"/>
    </xf>
    <xf numFmtId="3" fontId="21" fillId="4" borderId="15" xfId="10" applyNumberFormat="1" applyFont="1" applyFill="1" applyBorder="1" applyAlignment="1">
      <alignment horizontal="right" vertical="center"/>
    </xf>
    <xf numFmtId="0" fontId="67" fillId="4" borderId="21" xfId="10" applyFont="1" applyFill="1" applyBorder="1" applyAlignment="1">
      <alignment vertical="center" wrapText="1"/>
    </xf>
    <xf numFmtId="0" fontId="67" fillId="4" borderId="25" xfId="10" applyFont="1" applyFill="1" applyBorder="1" applyAlignment="1">
      <alignment horizontal="center" vertical="center" wrapText="1"/>
    </xf>
    <xf numFmtId="0" fontId="67" fillId="4" borderId="21" xfId="10" applyFont="1" applyFill="1" applyBorder="1" applyAlignment="1">
      <alignment horizontal="center" vertical="center" wrapText="1"/>
    </xf>
    <xf numFmtId="0" fontId="67" fillId="4" borderId="13" xfId="10" applyFont="1" applyFill="1" applyBorder="1" applyAlignment="1">
      <alignment vertical="center" wrapText="1"/>
    </xf>
    <xf numFmtId="0" fontId="67" fillId="4" borderId="11" xfId="10" applyFont="1" applyFill="1" applyBorder="1" applyAlignment="1">
      <alignment horizontal="center" vertical="center" wrapText="1"/>
    </xf>
    <xf numFmtId="0" fontId="73" fillId="0" borderId="9" xfId="10" applyFont="1" applyBorder="1" applyAlignment="1">
      <alignment vertical="center" wrapText="1"/>
    </xf>
    <xf numFmtId="0" fontId="64" fillId="3" borderId="1" xfId="10" applyFont="1" applyFill="1" applyBorder="1" applyAlignment="1">
      <alignment horizontal="center" vertical="center" wrapText="1"/>
    </xf>
    <xf numFmtId="0" fontId="64" fillId="3" borderId="13" xfId="10" applyFont="1" applyFill="1" applyBorder="1" applyAlignment="1">
      <alignment horizontal="left" vertical="center" wrapText="1"/>
    </xf>
    <xf numFmtId="0" fontId="55" fillId="3" borderId="11" xfId="10" quotePrefix="1" applyFont="1" applyFill="1" applyBorder="1" applyAlignment="1">
      <alignment horizontal="center" vertical="center" wrapText="1"/>
    </xf>
    <xf numFmtId="3" fontId="65" fillId="3" borderId="13" xfId="10" applyNumberFormat="1" applyFont="1" applyFill="1" applyBorder="1" applyAlignment="1">
      <alignment horizontal="right" vertical="center"/>
    </xf>
    <xf numFmtId="4" fontId="65" fillId="3" borderId="13" xfId="10" applyNumberFormat="1" applyFont="1" applyFill="1" applyBorder="1" applyAlignment="1">
      <alignment horizontal="right" vertical="center"/>
    </xf>
    <xf numFmtId="10" fontId="65" fillId="3" borderId="13" xfId="10" applyNumberFormat="1" applyFont="1" applyFill="1" applyBorder="1" applyAlignment="1">
      <alignment horizontal="right" vertical="center"/>
    </xf>
    <xf numFmtId="0" fontId="55" fillId="7" borderId="6" xfId="10" quotePrefix="1" applyFont="1" applyFill="1" applyBorder="1" applyAlignment="1">
      <alignment horizontal="center" vertical="center" wrapText="1"/>
    </xf>
    <xf numFmtId="3" fontId="6" fillId="7" borderId="3" xfId="10" applyNumberFormat="1" applyFont="1" applyFill="1" applyBorder="1" applyAlignment="1">
      <alignment horizontal="right" vertical="center"/>
    </xf>
    <xf numFmtId="4" fontId="6" fillId="7" borderId="3" xfId="10" applyNumberFormat="1" applyFont="1" applyFill="1" applyBorder="1" applyAlignment="1">
      <alignment horizontal="right" vertical="center"/>
    </xf>
    <xf numFmtId="10" fontId="6" fillId="7" borderId="3" xfId="10" applyNumberFormat="1" applyFont="1" applyFill="1" applyBorder="1" applyAlignment="1">
      <alignment horizontal="right" vertical="center"/>
    </xf>
    <xf numFmtId="0" fontId="63" fillId="4" borderId="21" xfId="10" applyFont="1" applyFill="1" applyBorder="1" applyAlignment="1">
      <alignment vertical="center" wrapText="1"/>
    </xf>
    <xf numFmtId="0" fontId="55" fillId="0" borderId="15" xfId="10" applyFont="1" applyBorder="1" applyAlignment="1">
      <alignment horizontal="left" vertical="center" wrapText="1"/>
    </xf>
    <xf numFmtId="49" fontId="55" fillId="4" borderId="25" xfId="10" applyNumberFormat="1" applyFont="1" applyFill="1" applyBorder="1" applyAlignment="1">
      <alignment horizontal="center" vertical="center" wrapText="1"/>
    </xf>
    <xf numFmtId="3" fontId="6" fillId="0" borderId="21" xfId="10" applyNumberFormat="1" applyFont="1" applyBorder="1" applyAlignment="1">
      <alignment horizontal="right" vertical="center"/>
    </xf>
    <xf numFmtId="4" fontId="6" fillId="0" borderId="21" xfId="10" applyNumberFormat="1" applyFont="1" applyBorder="1" applyAlignment="1">
      <alignment horizontal="right" vertical="center"/>
    </xf>
    <xf numFmtId="0" fontId="55" fillId="7" borderId="32" xfId="10" quotePrefix="1" applyFont="1" applyFill="1" applyBorder="1" applyAlignment="1">
      <alignment horizontal="center" vertical="center" wrapText="1"/>
    </xf>
    <xf numFmtId="3" fontId="27" fillId="7" borderId="26" xfId="10" applyNumberFormat="1" applyFont="1" applyFill="1" applyBorder="1" applyAlignment="1">
      <alignment horizontal="right" vertical="center"/>
    </xf>
    <xf numFmtId="4" fontId="27" fillId="7" borderId="26" xfId="10" applyNumberFormat="1" applyFont="1" applyFill="1" applyBorder="1" applyAlignment="1">
      <alignment horizontal="right" vertical="center"/>
    </xf>
    <xf numFmtId="10" fontId="27" fillId="7" borderId="26" xfId="10" applyNumberFormat="1" applyFont="1" applyFill="1" applyBorder="1" applyAlignment="1">
      <alignment horizontal="right" vertical="center"/>
    </xf>
    <xf numFmtId="0" fontId="61" fillId="3" borderId="5" xfId="10" applyFont="1" applyFill="1" applyBorder="1" applyAlignment="1">
      <alignment horizontal="center" vertical="center" wrapText="1"/>
    </xf>
    <xf numFmtId="0" fontId="61" fillId="3" borderId="8" xfId="10" applyFont="1" applyFill="1" applyBorder="1" applyAlignment="1">
      <alignment horizontal="left" vertical="center" wrapText="1"/>
    </xf>
    <xf numFmtId="0" fontId="43" fillId="3" borderId="2" xfId="10" quotePrefix="1" applyFont="1" applyFill="1" applyBorder="1" applyAlignment="1">
      <alignment horizontal="center" vertical="center" wrapText="1"/>
    </xf>
    <xf numFmtId="0" fontId="43" fillId="7" borderId="6" xfId="10" quotePrefix="1" applyFont="1" applyFill="1" applyBorder="1" applyAlignment="1">
      <alignment horizontal="center" vertical="center" wrapText="1"/>
    </xf>
    <xf numFmtId="3" fontId="2" fillId="7" borderId="3" xfId="10" applyNumberFormat="1" applyFont="1" applyFill="1" applyBorder="1" applyAlignment="1">
      <alignment horizontal="right" vertical="center"/>
    </xf>
    <xf numFmtId="4" fontId="2" fillId="7" borderId="3" xfId="10" applyNumberFormat="1" applyFont="1" applyFill="1" applyBorder="1" applyAlignment="1">
      <alignment horizontal="right" vertical="center"/>
    </xf>
    <xf numFmtId="10" fontId="2" fillId="7" borderId="3" xfId="10" applyNumberFormat="1" applyFont="1" applyFill="1" applyBorder="1" applyAlignment="1">
      <alignment horizontal="right" vertical="center"/>
    </xf>
    <xf numFmtId="0" fontId="43" fillId="0" borderId="9" xfId="10" applyFont="1" applyBorder="1" applyAlignment="1">
      <alignment horizontal="left" vertical="center" wrapText="1"/>
    </xf>
    <xf numFmtId="0" fontId="73" fillId="0" borderId="13" xfId="10" applyFont="1" applyBorder="1" applyAlignment="1">
      <alignment vertical="center" wrapText="1"/>
    </xf>
    <xf numFmtId="0" fontId="43" fillId="7" borderId="32" xfId="10" quotePrefix="1" applyFont="1" applyFill="1" applyBorder="1" applyAlignment="1">
      <alignment horizontal="center" vertical="center" wrapText="1"/>
    </xf>
    <xf numFmtId="0" fontId="74" fillId="5" borderId="8" xfId="10" applyFont="1" applyFill="1" applyBorder="1" applyAlignment="1">
      <alignment horizontal="center" vertical="center" wrapText="1"/>
    </xf>
    <xf numFmtId="0" fontId="75" fillId="5" borderId="7" xfId="10" applyFont="1" applyFill="1" applyBorder="1" applyAlignment="1">
      <alignment horizontal="center" vertical="center" wrapText="1"/>
    </xf>
    <xf numFmtId="0" fontId="74" fillId="5" borderId="8" xfId="10" applyFont="1" applyFill="1" applyBorder="1" applyAlignment="1">
      <alignment vertical="center" wrapText="1"/>
    </xf>
    <xf numFmtId="0" fontId="75" fillId="5" borderId="2" xfId="10" applyFont="1" applyFill="1" applyBorder="1" applyAlignment="1">
      <alignment vertical="center" wrapText="1"/>
    </xf>
    <xf numFmtId="0" fontId="73" fillId="0" borderId="3" xfId="10" applyFont="1" applyBorder="1" applyAlignment="1">
      <alignment vertical="center" wrapText="1"/>
    </xf>
    <xf numFmtId="0" fontId="43" fillId="7" borderId="2" xfId="10" quotePrefix="1" applyFont="1" applyFill="1" applyBorder="1" applyAlignment="1">
      <alignment horizontal="center" vertical="center" wrapText="1"/>
    </xf>
    <xf numFmtId="3" fontId="2" fillId="7" borderId="8" xfId="10" applyNumberFormat="1" applyFont="1" applyFill="1" applyBorder="1" applyAlignment="1">
      <alignment horizontal="right" vertical="center"/>
    </xf>
    <xf numFmtId="4" fontId="2" fillId="7" borderId="8" xfId="10" applyNumberFormat="1" applyFont="1" applyFill="1" applyBorder="1" applyAlignment="1">
      <alignment horizontal="right" vertical="center"/>
    </xf>
    <xf numFmtId="10" fontId="2" fillId="7" borderId="8" xfId="10" applyNumberFormat="1" applyFont="1" applyFill="1" applyBorder="1" applyAlignment="1">
      <alignment horizontal="right" vertical="center"/>
    </xf>
    <xf numFmtId="49" fontId="43" fillId="0" borderId="33" xfId="10" quotePrefix="1" applyNumberFormat="1" applyFont="1" applyBorder="1" applyAlignment="1">
      <alignment horizontal="center" vertical="center" wrapText="1"/>
    </xf>
    <xf numFmtId="3" fontId="2" fillId="0" borderId="17" xfId="10" applyNumberFormat="1" applyFont="1" applyBorder="1" applyAlignment="1">
      <alignment horizontal="right" vertical="center"/>
    </xf>
    <xf numFmtId="3" fontId="6" fillId="0" borderId="33" xfId="10" applyNumberFormat="1" applyFont="1" applyBorder="1" applyAlignment="1">
      <alignment horizontal="right" vertical="center"/>
    </xf>
    <xf numFmtId="4" fontId="6" fillId="0" borderId="17" xfId="10" applyNumberFormat="1" applyFont="1" applyBorder="1" applyAlignment="1">
      <alignment horizontal="right" vertical="center"/>
    </xf>
    <xf numFmtId="10" fontId="6" fillId="0" borderId="33" xfId="10" applyNumberFormat="1" applyFont="1" applyBorder="1" applyAlignment="1">
      <alignment horizontal="right" vertical="center"/>
    </xf>
    <xf numFmtId="0" fontId="43" fillId="0" borderId="20" xfId="10" applyFont="1" applyBorder="1" applyAlignment="1">
      <alignment horizontal="left" vertical="center" wrapText="1"/>
    </xf>
    <xf numFmtId="3" fontId="2" fillId="0" borderId="20" xfId="10" applyNumberFormat="1" applyFont="1" applyBorder="1" applyAlignment="1">
      <alignment horizontal="right" vertical="center"/>
    </xf>
    <xf numFmtId="4" fontId="6" fillId="0" borderId="20" xfId="10" applyNumberFormat="1" applyFont="1" applyBorder="1" applyAlignment="1">
      <alignment horizontal="right" vertical="center"/>
    </xf>
    <xf numFmtId="0" fontId="43" fillId="0" borderId="0" xfId="10" applyFont="1" applyAlignment="1">
      <alignment horizontal="left" vertical="center" wrapText="1"/>
    </xf>
    <xf numFmtId="49" fontId="43" fillId="4" borderId="14" xfId="10" quotePrefix="1" applyNumberFormat="1" applyFont="1" applyFill="1" applyBorder="1" applyAlignment="1">
      <alignment horizontal="center" vertical="center" wrapText="1"/>
    </xf>
    <xf numFmtId="0" fontId="41" fillId="7" borderId="26" xfId="10" quotePrefix="1" applyFont="1" applyFill="1" applyBorder="1" applyAlignment="1">
      <alignment horizontal="left" vertical="center" wrapText="1"/>
    </xf>
    <xf numFmtId="0" fontId="61" fillId="3" borderId="1" xfId="10" applyFont="1" applyFill="1" applyBorder="1" applyAlignment="1">
      <alignment horizontal="center" vertical="center" wrapText="1"/>
    </xf>
    <xf numFmtId="0" fontId="61" fillId="3" borderId="13" xfId="10" applyFont="1" applyFill="1" applyBorder="1" applyAlignment="1">
      <alignment horizontal="left" vertical="center" wrapText="1"/>
    </xf>
    <xf numFmtId="0" fontId="43" fillId="3" borderId="11" xfId="10" quotePrefix="1" applyFont="1" applyFill="1" applyBorder="1" applyAlignment="1">
      <alignment horizontal="center" vertical="center" wrapText="1"/>
    </xf>
    <xf numFmtId="3" fontId="13" fillId="3" borderId="13" xfId="10" applyNumberFormat="1" applyFont="1" applyFill="1" applyBorder="1" applyAlignment="1">
      <alignment horizontal="right" vertical="center"/>
    </xf>
    <xf numFmtId="4" fontId="13" fillId="3" borderId="13" xfId="10" applyNumberFormat="1" applyFont="1" applyFill="1" applyBorder="1" applyAlignment="1">
      <alignment horizontal="right" vertical="center"/>
    </xf>
    <xf numFmtId="10" fontId="13" fillId="3" borderId="13" xfId="10" applyNumberFormat="1" applyFont="1" applyFill="1" applyBorder="1" applyAlignment="1">
      <alignment horizontal="right" vertical="center"/>
    </xf>
    <xf numFmtId="0" fontId="43" fillId="7" borderId="24" xfId="10" quotePrefix="1" applyFont="1" applyFill="1" applyBorder="1" applyAlignment="1">
      <alignment horizontal="center" vertical="center" wrapText="1"/>
    </xf>
    <xf numFmtId="3" fontId="2" fillId="7" borderId="33" xfId="10" applyNumberFormat="1" applyFont="1" applyFill="1" applyBorder="1" applyAlignment="1">
      <alignment horizontal="right" vertical="center"/>
    </xf>
    <xf numFmtId="4" fontId="2" fillId="7" borderId="33" xfId="10" applyNumberFormat="1" applyFont="1" applyFill="1" applyBorder="1" applyAlignment="1">
      <alignment horizontal="right" vertical="center"/>
    </xf>
    <xf numFmtId="10" fontId="2" fillId="7" borderId="33" xfId="10" applyNumberFormat="1" applyFont="1" applyFill="1" applyBorder="1" applyAlignment="1">
      <alignment horizontal="right" vertical="center"/>
    </xf>
    <xf numFmtId="0" fontId="43" fillId="0" borderId="10" xfId="10" applyFont="1" applyBorder="1" applyAlignment="1">
      <alignment horizontal="left" vertical="center" wrapText="1"/>
    </xf>
    <xf numFmtId="0" fontId="43" fillId="0" borderId="27" xfId="10" applyFont="1" applyBorder="1" applyAlignment="1">
      <alignment horizontal="left" vertical="center" wrapText="1"/>
    </xf>
    <xf numFmtId="0" fontId="75" fillId="0" borderId="3" xfId="10" applyFont="1" applyBorder="1" applyAlignment="1">
      <alignment vertical="center" wrapText="1"/>
    </xf>
    <xf numFmtId="0" fontId="75" fillId="0" borderId="9" xfId="10" applyFont="1" applyBorder="1" applyAlignment="1">
      <alignment vertical="center" wrapText="1"/>
    </xf>
    <xf numFmtId="0" fontId="41" fillId="7" borderId="23" xfId="10" quotePrefix="1" applyFont="1" applyFill="1" applyBorder="1" applyAlignment="1">
      <alignment horizontal="left" vertical="center" wrapText="1"/>
    </xf>
    <xf numFmtId="10" fontId="9" fillId="7" borderId="15" xfId="10" applyNumberFormat="1" applyFont="1" applyFill="1" applyBorder="1" applyAlignment="1">
      <alignment horizontal="right" vertical="center"/>
    </xf>
    <xf numFmtId="0" fontId="75" fillId="0" borderId="18" xfId="10" applyFont="1" applyBorder="1" applyAlignment="1">
      <alignment vertical="center" wrapText="1"/>
    </xf>
    <xf numFmtId="0" fontId="43" fillId="0" borderId="27" xfId="10" applyFont="1" applyBorder="1" applyAlignment="1">
      <alignment vertical="center" wrapText="1"/>
    </xf>
    <xf numFmtId="0" fontId="43" fillId="0" borderId="16" xfId="10" applyFont="1" applyBorder="1" applyAlignment="1">
      <alignment vertical="center" wrapText="1"/>
    </xf>
    <xf numFmtId="0" fontId="52" fillId="4" borderId="0" xfId="10" applyFill="1"/>
    <xf numFmtId="0" fontId="59" fillId="0" borderId="16" xfId="10" applyFont="1" applyBorder="1" applyAlignment="1">
      <alignment vertical="center" wrapText="1"/>
    </xf>
    <xf numFmtId="49" fontId="59" fillId="4" borderId="23" xfId="10" applyNumberFormat="1" applyFont="1" applyFill="1" applyBorder="1" applyAlignment="1">
      <alignment horizontal="center" vertical="center" wrapText="1"/>
    </xf>
    <xf numFmtId="0" fontId="43" fillId="4" borderId="25" xfId="10" applyFont="1" applyFill="1" applyBorder="1" applyAlignment="1">
      <alignment vertical="center" wrapText="1"/>
    </xf>
    <xf numFmtId="0" fontId="43" fillId="4" borderId="17" xfId="10" applyFont="1" applyFill="1" applyBorder="1" applyAlignment="1">
      <alignment vertical="center" wrapText="1"/>
    </xf>
    <xf numFmtId="0" fontId="75" fillId="0" borderId="9" xfId="10" applyFont="1" applyBorder="1" applyAlignment="1">
      <alignment horizontal="center" vertical="center" wrapText="1"/>
    </xf>
    <xf numFmtId="0" fontId="43" fillId="4" borderId="20" xfId="10" applyFont="1" applyFill="1" applyBorder="1" applyAlignment="1">
      <alignment vertical="center" wrapText="1"/>
    </xf>
    <xf numFmtId="0" fontId="59" fillId="4" borderId="20" xfId="10" applyFont="1" applyFill="1" applyBorder="1" applyAlignment="1">
      <alignment vertical="center" wrapText="1"/>
    </xf>
    <xf numFmtId="49" fontId="43" fillId="4" borderId="21" xfId="10" quotePrefix="1" applyNumberFormat="1" applyFont="1" applyFill="1" applyBorder="1" applyAlignment="1">
      <alignment horizontal="center" vertical="center" wrapText="1"/>
    </xf>
    <xf numFmtId="0" fontId="43" fillId="0" borderId="26" xfId="10" applyFont="1" applyBorder="1" applyAlignment="1">
      <alignment horizontal="left" vertical="center" wrapText="1"/>
    </xf>
    <xf numFmtId="0" fontId="76" fillId="5" borderId="8" xfId="10" applyFont="1" applyFill="1" applyBorder="1" applyAlignment="1">
      <alignment horizontal="center" vertical="center" wrapText="1"/>
    </xf>
    <xf numFmtId="0" fontId="76" fillId="3" borderId="8" xfId="10" applyFont="1" applyFill="1" applyBorder="1" applyAlignment="1">
      <alignment horizontal="center" vertical="center" wrapText="1"/>
    </xf>
    <xf numFmtId="0" fontId="76" fillId="3" borderId="8" xfId="10" applyFont="1" applyFill="1" applyBorder="1" applyAlignment="1">
      <alignment vertical="center" wrapText="1"/>
    </xf>
    <xf numFmtId="10" fontId="27" fillId="7" borderId="18" xfId="10" applyNumberFormat="1" applyFont="1" applyFill="1" applyBorder="1" applyAlignment="1">
      <alignment horizontal="right" vertical="center"/>
    </xf>
    <xf numFmtId="0" fontId="41" fillId="0" borderId="32" xfId="10" applyFont="1" applyBorder="1" applyAlignment="1">
      <alignment horizontal="left" vertical="center" wrapText="1"/>
    </xf>
    <xf numFmtId="0" fontId="43" fillId="0" borderId="26" xfId="10" quotePrefix="1" applyFont="1" applyBorder="1" applyAlignment="1">
      <alignment horizontal="left" vertical="center" wrapText="1"/>
    </xf>
    <xf numFmtId="0" fontId="61" fillId="3" borderId="12" xfId="10" applyFont="1" applyFill="1" applyBorder="1" applyAlignment="1">
      <alignment horizontal="center" vertical="center" wrapText="1"/>
    </xf>
    <xf numFmtId="0" fontId="61" fillId="3" borderId="13" xfId="10" applyFont="1" applyFill="1" applyBorder="1" applyAlignment="1">
      <alignment vertical="center" wrapText="1"/>
    </xf>
    <xf numFmtId="0" fontId="41" fillId="0" borderId="16" xfId="10" applyFont="1" applyBorder="1" applyAlignment="1">
      <alignment horizontal="center" vertical="center" wrapText="1"/>
    </xf>
    <xf numFmtId="0" fontId="43" fillId="4" borderId="23" xfId="10" quotePrefix="1" applyFont="1" applyFill="1" applyBorder="1" applyAlignment="1">
      <alignment horizontal="center" vertical="center" wrapText="1"/>
    </xf>
    <xf numFmtId="0" fontId="76" fillId="3" borderId="2" xfId="10" applyFont="1" applyFill="1" applyBorder="1" applyAlignment="1">
      <alignment horizontal="center" vertical="center" wrapText="1"/>
    </xf>
    <xf numFmtId="0" fontId="62" fillId="3" borderId="2" xfId="10" applyFont="1" applyFill="1" applyBorder="1" applyAlignment="1">
      <alignment vertical="center" wrapText="1"/>
    </xf>
    <xf numFmtId="0" fontId="63" fillId="7" borderId="23" xfId="10" quotePrefix="1" applyFont="1" applyFill="1" applyBorder="1" applyAlignment="1">
      <alignment horizontal="left" vertical="center" wrapText="1"/>
    </xf>
    <xf numFmtId="0" fontId="62" fillId="0" borderId="18" xfId="10" applyFont="1" applyBorder="1" applyAlignment="1">
      <alignment vertical="center" wrapText="1"/>
    </xf>
    <xf numFmtId="0" fontId="62" fillId="0" borderId="9" xfId="10" applyFont="1" applyBorder="1" applyAlignment="1">
      <alignment vertical="center" wrapText="1"/>
    </xf>
    <xf numFmtId="0" fontId="62" fillId="0" borderId="13" xfId="10" applyFont="1" applyBorder="1" applyAlignment="1">
      <alignment vertical="center" wrapText="1"/>
    </xf>
    <xf numFmtId="0" fontId="43" fillId="0" borderId="22" xfId="10" applyFont="1" applyBorder="1" applyAlignment="1">
      <alignment vertical="center" wrapText="1"/>
    </xf>
    <xf numFmtId="49" fontId="43" fillId="0" borderId="11" xfId="10" applyNumberFormat="1" applyFont="1" applyBorder="1" applyAlignment="1">
      <alignment horizontal="center" vertical="center" wrapText="1"/>
    </xf>
    <xf numFmtId="0" fontId="13" fillId="0" borderId="0" xfId="10" applyFont="1"/>
    <xf numFmtId="0" fontId="62" fillId="0" borderId="15" xfId="10" applyFont="1" applyBorder="1" applyAlignment="1">
      <alignment vertical="center" wrapText="1"/>
    </xf>
    <xf numFmtId="0" fontId="43" fillId="0" borderId="0" xfId="10" applyFont="1" applyAlignment="1">
      <alignment vertical="center" wrapText="1"/>
    </xf>
    <xf numFmtId="49" fontId="41" fillId="7" borderId="32" xfId="10" applyNumberFormat="1" applyFont="1" applyFill="1" applyBorder="1" applyAlignment="1">
      <alignment vertical="center" wrapText="1"/>
    </xf>
    <xf numFmtId="0" fontId="62" fillId="3" borderId="13" xfId="10" applyFont="1" applyFill="1" applyBorder="1" applyAlignment="1">
      <alignment horizontal="center" vertical="center" wrapText="1"/>
    </xf>
    <xf numFmtId="0" fontId="64" fillId="3" borderId="13" xfId="10" applyFont="1" applyFill="1" applyBorder="1" applyAlignment="1">
      <alignment vertical="center" wrapText="1"/>
    </xf>
    <xf numFmtId="0" fontId="64" fillId="3" borderId="11" xfId="10" applyFont="1" applyFill="1" applyBorder="1" applyAlignment="1">
      <alignment vertical="center" wrapText="1"/>
    </xf>
    <xf numFmtId="3" fontId="27" fillId="7" borderId="3" xfId="10" applyNumberFormat="1" applyFont="1" applyFill="1" applyBorder="1" applyAlignment="1">
      <alignment horizontal="right" vertical="center"/>
    </xf>
    <xf numFmtId="4" fontId="27" fillId="7" borderId="3" xfId="10" applyNumberFormat="1" applyFont="1" applyFill="1" applyBorder="1" applyAlignment="1">
      <alignment horizontal="right" vertical="center"/>
    </xf>
    <xf numFmtId="10" fontId="27" fillId="7" borderId="3" xfId="10" applyNumberFormat="1" applyFont="1" applyFill="1" applyBorder="1" applyAlignment="1">
      <alignment horizontal="right" vertical="center"/>
    </xf>
    <xf numFmtId="0" fontId="62" fillId="0" borderId="10" xfId="10" applyFont="1" applyBorder="1" applyAlignment="1">
      <alignment horizontal="center" vertical="center" wrapText="1"/>
    </xf>
    <xf numFmtId="0" fontId="73" fillId="0" borderId="0" xfId="10" applyFont="1" applyAlignment="1">
      <alignment vertical="center" wrapText="1"/>
    </xf>
    <xf numFmtId="0" fontId="73" fillId="4" borderId="14" xfId="10" applyFont="1" applyFill="1" applyBorder="1" applyAlignment="1">
      <alignment horizontal="center" vertical="center" wrapText="1"/>
    </xf>
    <xf numFmtId="0" fontId="63" fillId="7" borderId="25" xfId="10" quotePrefix="1" applyFont="1" applyFill="1" applyBorder="1" applyAlignment="1">
      <alignment horizontal="center" vertical="center" wrapText="1"/>
    </xf>
    <xf numFmtId="3" fontId="27" fillId="7" borderId="18" xfId="10" applyNumberFormat="1" applyFont="1" applyFill="1" applyBorder="1" applyAlignment="1">
      <alignment horizontal="right" vertical="center"/>
    </xf>
    <xf numFmtId="4" fontId="27" fillId="7" borderId="18" xfId="10" applyNumberFormat="1" applyFont="1" applyFill="1" applyBorder="1" applyAlignment="1">
      <alignment horizontal="right" vertical="center"/>
    </xf>
    <xf numFmtId="0" fontId="40" fillId="5" borderId="7" xfId="10" applyFont="1" applyFill="1" applyBorder="1" applyAlignment="1">
      <alignment vertical="center" wrapText="1"/>
    </xf>
    <xf numFmtId="0" fontId="40" fillId="5" borderId="2" xfId="10" applyFont="1" applyFill="1" applyBorder="1" applyAlignment="1">
      <alignment horizontal="left" vertical="center" wrapText="1"/>
    </xf>
    <xf numFmtId="10" fontId="40" fillId="5" borderId="8" xfId="10" applyNumberFormat="1" applyFont="1" applyFill="1" applyBorder="1" applyAlignment="1">
      <alignment horizontal="right" vertical="center"/>
    </xf>
    <xf numFmtId="10" fontId="40" fillId="3" borderId="3" xfId="10" applyNumberFormat="1" applyFont="1" applyFill="1" applyBorder="1" applyAlignment="1">
      <alignment horizontal="right" vertical="center"/>
    </xf>
    <xf numFmtId="10" fontId="41" fillId="7" borderId="33" xfId="10" applyNumberFormat="1" applyFont="1" applyFill="1" applyBorder="1" applyAlignment="1">
      <alignment horizontal="right" vertical="center"/>
    </xf>
    <xf numFmtId="0" fontId="43" fillId="4" borderId="17" xfId="10" quotePrefix="1" applyFont="1" applyFill="1" applyBorder="1" applyAlignment="1">
      <alignment horizontal="left" vertical="center" wrapText="1"/>
    </xf>
    <xf numFmtId="3" fontId="2" fillId="4" borderId="15" xfId="10" applyNumberFormat="1" applyFont="1" applyFill="1" applyBorder="1" applyAlignment="1">
      <alignment horizontal="right" vertical="center"/>
    </xf>
    <xf numFmtId="4" fontId="2" fillId="4" borderId="15" xfId="10" applyNumberFormat="1" applyFont="1" applyFill="1" applyBorder="1" applyAlignment="1">
      <alignment horizontal="right" vertical="center"/>
    </xf>
    <xf numFmtId="0" fontId="43" fillId="4" borderId="25" xfId="10" applyFont="1" applyFill="1" applyBorder="1" applyAlignment="1">
      <alignment horizontal="left" vertical="center" wrapText="1"/>
    </xf>
    <xf numFmtId="49" fontId="41" fillId="7" borderId="32" xfId="10" quotePrefix="1" applyNumberFormat="1" applyFont="1" applyFill="1" applyBorder="1" applyAlignment="1">
      <alignment horizontal="center" vertical="center" wrapText="1"/>
    </xf>
    <xf numFmtId="0" fontId="73" fillId="4" borderId="13" xfId="10" applyFont="1" applyFill="1" applyBorder="1" applyAlignment="1">
      <alignment horizontal="center" vertical="center" wrapText="1"/>
    </xf>
    <xf numFmtId="0" fontId="63" fillId="4" borderId="13" xfId="10" applyFont="1" applyFill="1" applyBorder="1" applyAlignment="1">
      <alignment horizontal="center" vertical="center" wrapText="1"/>
    </xf>
    <xf numFmtId="0" fontId="55" fillId="4" borderId="1" xfId="10" quotePrefix="1" applyFont="1" applyFill="1" applyBorder="1" applyAlignment="1">
      <alignment horizontal="left" vertical="center" wrapText="1"/>
    </xf>
    <xf numFmtId="49" fontId="55" fillId="4" borderId="11" xfId="10" quotePrefix="1" applyNumberFormat="1" applyFont="1" applyFill="1" applyBorder="1" applyAlignment="1">
      <alignment horizontal="center" vertical="center" wrapText="1"/>
    </xf>
    <xf numFmtId="3" fontId="6" fillId="4" borderId="13" xfId="10" applyNumberFormat="1" applyFont="1" applyFill="1" applyBorder="1" applyAlignment="1">
      <alignment horizontal="right" vertical="center"/>
    </xf>
    <xf numFmtId="4" fontId="6" fillId="4" borderId="13" xfId="10" applyNumberFormat="1" applyFont="1" applyFill="1" applyBorder="1" applyAlignment="1">
      <alignment horizontal="right" vertical="center"/>
    </xf>
    <xf numFmtId="10" fontId="6" fillId="4" borderId="13" xfId="10" applyNumberFormat="1" applyFont="1" applyFill="1" applyBorder="1" applyAlignment="1">
      <alignment horizontal="right" vertical="center"/>
    </xf>
    <xf numFmtId="0" fontId="61" fillId="5" borderId="7" xfId="10" applyFont="1" applyFill="1" applyBorder="1" applyAlignment="1">
      <alignment horizontal="center" vertical="center" wrapText="1"/>
    </xf>
    <xf numFmtId="0" fontId="40" fillId="5" borderId="5" xfId="10" applyFont="1" applyFill="1" applyBorder="1" applyAlignment="1">
      <alignment vertical="center" wrapText="1"/>
    </xf>
    <xf numFmtId="0" fontId="61" fillId="3" borderId="13" xfId="10" applyFont="1" applyFill="1" applyBorder="1" applyAlignment="1">
      <alignment horizontal="center" vertical="center" wrapText="1"/>
    </xf>
    <xf numFmtId="0" fontId="61" fillId="3" borderId="1" xfId="10" applyFont="1" applyFill="1" applyBorder="1" applyAlignment="1">
      <alignment vertical="center" wrapText="1"/>
    </xf>
    <xf numFmtId="0" fontId="61" fillId="3" borderId="11" xfId="10" applyFont="1" applyFill="1" applyBorder="1" applyAlignment="1">
      <alignment vertical="center" wrapText="1"/>
    </xf>
    <xf numFmtId="0" fontId="78" fillId="4" borderId="9" xfId="10" applyFont="1" applyFill="1" applyBorder="1" applyAlignment="1">
      <alignment vertical="center" wrapText="1"/>
    </xf>
    <xf numFmtId="0" fontId="61" fillId="3" borderId="8" xfId="10" applyFont="1" applyFill="1" applyBorder="1" applyAlignment="1">
      <alignment horizontal="center" vertical="center" wrapText="1"/>
    </xf>
    <xf numFmtId="0" fontId="43" fillId="0" borderId="20" xfId="10" quotePrefix="1" applyFont="1" applyBorder="1" applyAlignment="1">
      <alignment horizontal="left" vertical="center" wrapText="1"/>
    </xf>
    <xf numFmtId="0" fontId="43" fillId="0" borderId="17" xfId="10" applyFont="1" applyBorder="1" applyAlignment="1">
      <alignment vertical="center" wrapText="1"/>
    </xf>
    <xf numFmtId="0" fontId="43" fillId="4" borderId="14" xfId="10" applyFont="1" applyFill="1" applyBorder="1" applyAlignment="1">
      <alignment horizontal="center" vertical="center" wrapText="1"/>
    </xf>
    <xf numFmtId="0" fontId="61" fillId="0" borderId="18" xfId="10" applyFont="1" applyBorder="1" applyAlignment="1">
      <alignment vertical="center" wrapText="1"/>
    </xf>
    <xf numFmtId="0" fontId="43" fillId="0" borderId="25" xfId="10" applyFont="1" applyBorder="1" applyAlignment="1">
      <alignment vertical="center" wrapText="1"/>
    </xf>
    <xf numFmtId="0" fontId="43" fillId="4" borderId="25" xfId="10" applyFont="1" applyFill="1" applyBorder="1" applyAlignment="1">
      <alignment horizontal="center" vertical="center" wrapText="1"/>
    </xf>
    <xf numFmtId="0" fontId="61" fillId="0" borderId="15" xfId="10" applyFont="1" applyBorder="1" applyAlignment="1">
      <alignment vertical="center" wrapText="1"/>
    </xf>
    <xf numFmtId="0" fontId="68" fillId="3" borderId="7" xfId="10" applyFont="1" applyFill="1" applyBorder="1" applyAlignment="1">
      <alignment horizontal="center" vertical="center" wrapText="1"/>
    </xf>
    <xf numFmtId="0" fontId="63" fillId="7" borderId="6" xfId="10" quotePrefix="1" applyFont="1" applyFill="1" applyBorder="1" applyAlignment="1">
      <alignment horizontal="left" vertical="center" wrapText="1"/>
    </xf>
    <xf numFmtId="3" fontId="36" fillId="7" borderId="3" xfId="10" applyNumberFormat="1" applyFont="1" applyFill="1" applyBorder="1" applyAlignment="1">
      <alignment horizontal="right" vertical="center"/>
    </xf>
    <xf numFmtId="4" fontId="36" fillId="7" borderId="3" xfId="10" applyNumberFormat="1" applyFont="1" applyFill="1" applyBorder="1" applyAlignment="1">
      <alignment horizontal="right" vertical="center"/>
    </xf>
    <xf numFmtId="10" fontId="36" fillId="7" borderId="3" xfId="10" applyNumberFormat="1" applyFont="1" applyFill="1" applyBorder="1" applyAlignment="1">
      <alignment horizontal="right" vertical="center"/>
    </xf>
    <xf numFmtId="3" fontId="21" fillId="0" borderId="18" xfId="10" applyNumberFormat="1" applyFont="1" applyBorder="1" applyAlignment="1">
      <alignment horizontal="right" vertical="center"/>
    </xf>
    <xf numFmtId="4" fontId="21" fillId="0" borderId="18" xfId="10" applyNumberFormat="1" applyFont="1" applyBorder="1" applyAlignment="1">
      <alignment horizontal="right" vertical="center"/>
    </xf>
    <xf numFmtId="49" fontId="55" fillId="4" borderId="23" xfId="10" applyNumberFormat="1" applyFont="1" applyFill="1" applyBorder="1" applyAlignment="1">
      <alignment horizontal="center" vertical="center" wrapText="1"/>
    </xf>
    <xf numFmtId="49" fontId="67" fillId="4" borderId="25" xfId="10" applyNumberFormat="1" applyFont="1" applyFill="1" applyBorder="1" applyAlignment="1">
      <alignment horizontal="center" vertical="center" wrapText="1"/>
    </xf>
    <xf numFmtId="49" fontId="67" fillId="4" borderId="23" xfId="10" applyNumberFormat="1" applyFont="1" applyFill="1" applyBorder="1" applyAlignment="1">
      <alignment horizontal="center" vertical="center" wrapText="1"/>
    </xf>
    <xf numFmtId="0" fontId="71" fillId="0" borderId="16" xfId="10" applyFont="1" applyBorder="1" applyAlignment="1">
      <alignment vertical="center" wrapText="1"/>
    </xf>
    <xf numFmtId="49" fontId="73" fillId="4" borderId="14" xfId="10" applyNumberFormat="1" applyFont="1" applyFill="1" applyBorder="1" applyAlignment="1">
      <alignment horizontal="center" vertical="center" wrapText="1"/>
    </xf>
    <xf numFmtId="3" fontId="21" fillId="0" borderId="9" xfId="10" applyNumberFormat="1" applyFont="1" applyBorder="1" applyAlignment="1">
      <alignment horizontal="right" vertical="center"/>
    </xf>
    <xf numFmtId="10" fontId="21" fillId="0" borderId="9" xfId="10" applyNumberFormat="1" applyFont="1" applyBorder="1" applyAlignment="1">
      <alignment horizontal="right" vertical="center"/>
    </xf>
    <xf numFmtId="0" fontId="69" fillId="7" borderId="25" xfId="10" quotePrefix="1" applyFont="1" applyFill="1" applyBorder="1" applyAlignment="1">
      <alignment horizontal="left" vertical="center" wrapText="1"/>
    </xf>
    <xf numFmtId="3" fontId="36" fillId="7" borderId="21" xfId="10" applyNumberFormat="1" applyFont="1" applyFill="1" applyBorder="1" applyAlignment="1">
      <alignment horizontal="right" vertical="center"/>
    </xf>
    <xf numFmtId="4" fontId="36" fillId="7" borderId="21" xfId="10" applyNumberFormat="1" applyFont="1" applyFill="1" applyBorder="1" applyAlignment="1">
      <alignment horizontal="right" vertical="center"/>
    </xf>
    <xf numFmtId="0" fontId="69" fillId="0" borderId="26" xfId="10" applyFont="1" applyBorder="1" applyAlignment="1">
      <alignment horizontal="left" vertical="center" wrapText="1"/>
    </xf>
    <xf numFmtId="0" fontId="69" fillId="0" borderId="1" xfId="10" quotePrefix="1" applyFont="1" applyBorder="1" applyAlignment="1">
      <alignment horizontal="left" vertical="center" wrapText="1"/>
    </xf>
    <xf numFmtId="3" fontId="36" fillId="0" borderId="13" xfId="10" applyNumberFormat="1" applyFont="1" applyBorder="1" applyAlignment="1">
      <alignment horizontal="right" vertical="center"/>
    </xf>
    <xf numFmtId="4" fontId="36" fillId="0" borderId="13" xfId="10" applyNumberFormat="1" applyFont="1" applyBorder="1" applyAlignment="1">
      <alignment horizontal="right" vertical="center"/>
    </xf>
    <xf numFmtId="0" fontId="71" fillId="0" borderId="3" xfId="10" applyFont="1" applyBorder="1" applyAlignment="1">
      <alignment vertical="center" wrapText="1"/>
    </xf>
    <xf numFmtId="0" fontId="69" fillId="7" borderId="23" xfId="10" quotePrefix="1" applyFont="1" applyFill="1" applyBorder="1" applyAlignment="1">
      <alignment horizontal="left" vertical="center" wrapText="1"/>
    </xf>
    <xf numFmtId="0" fontId="67" fillId="0" borderId="20" xfId="10" applyFont="1" applyBorder="1" applyAlignment="1">
      <alignment vertical="center" wrapText="1"/>
    </xf>
    <xf numFmtId="0" fontId="67" fillId="0" borderId="0" xfId="10" applyFont="1" applyAlignment="1">
      <alignment vertical="center" wrapText="1"/>
    </xf>
    <xf numFmtId="0" fontId="67" fillId="4" borderId="14" xfId="10" applyFont="1" applyFill="1" applyBorder="1" applyAlignment="1">
      <alignment horizontal="center" vertical="center" wrapText="1"/>
    </xf>
    <xf numFmtId="0" fontId="69" fillId="7" borderId="32" xfId="10" quotePrefix="1" applyFont="1" applyFill="1" applyBorder="1" applyAlignment="1">
      <alignment horizontal="left" vertical="center" wrapText="1"/>
    </xf>
    <xf numFmtId="3" fontId="36" fillId="7" borderId="26" xfId="10" applyNumberFormat="1" applyFont="1" applyFill="1" applyBorder="1" applyAlignment="1">
      <alignment horizontal="right" vertical="center"/>
    </xf>
    <xf numFmtId="4" fontId="36" fillId="7" borderId="26" xfId="10" applyNumberFormat="1" applyFont="1" applyFill="1" applyBorder="1" applyAlignment="1">
      <alignment horizontal="right" vertical="center"/>
    </xf>
    <xf numFmtId="10" fontId="36" fillId="7" borderId="26" xfId="10" applyNumberFormat="1" applyFont="1" applyFill="1" applyBorder="1" applyAlignment="1">
      <alignment horizontal="right" vertical="center"/>
    </xf>
    <xf numFmtId="0" fontId="68" fillId="3" borderId="1" xfId="10" quotePrefix="1" applyFont="1" applyFill="1" applyBorder="1" applyAlignment="1">
      <alignment horizontal="left" vertical="center" wrapText="1"/>
    </xf>
    <xf numFmtId="0" fontId="69" fillId="3" borderId="11" xfId="10" quotePrefix="1" applyFont="1" applyFill="1" applyBorder="1" applyAlignment="1">
      <alignment horizontal="left" vertical="center" wrapText="1"/>
    </xf>
    <xf numFmtId="0" fontId="69" fillId="0" borderId="18" xfId="10" applyFont="1" applyBorder="1" applyAlignment="1">
      <alignment vertical="center" wrapText="1"/>
    </xf>
    <xf numFmtId="10" fontId="36" fillId="0" borderId="9" xfId="10" applyNumberFormat="1" applyFont="1" applyBorder="1" applyAlignment="1">
      <alignment horizontal="right" vertical="center"/>
    </xf>
    <xf numFmtId="0" fontId="69" fillId="0" borderId="9" xfId="10" applyFont="1" applyBorder="1" applyAlignment="1">
      <alignment vertical="center" wrapText="1"/>
    </xf>
    <xf numFmtId="10" fontId="21" fillId="4" borderId="21" xfId="10" applyNumberFormat="1" applyFont="1" applyFill="1" applyBorder="1" applyAlignment="1">
      <alignment horizontal="right" vertical="center"/>
    </xf>
    <xf numFmtId="0" fontId="63" fillId="0" borderId="9" xfId="10" applyFont="1" applyBorder="1" applyAlignment="1">
      <alignment vertical="center" wrapText="1"/>
    </xf>
    <xf numFmtId="10" fontId="21" fillId="4" borderId="18" xfId="10" applyNumberFormat="1" applyFont="1" applyFill="1" applyBorder="1" applyAlignment="1">
      <alignment horizontal="right" vertical="center"/>
    </xf>
    <xf numFmtId="0" fontId="67" fillId="4" borderId="15" xfId="10" quotePrefix="1" applyFont="1" applyFill="1" applyBorder="1" applyAlignment="1">
      <alignment horizontal="left" vertical="center" wrapText="1"/>
    </xf>
    <xf numFmtId="4" fontId="21" fillId="4" borderId="15" xfId="10" applyNumberFormat="1" applyFont="1" applyFill="1" applyBorder="1" applyAlignment="1">
      <alignment horizontal="right" vertical="center"/>
    </xf>
    <xf numFmtId="0" fontId="67" fillId="4" borderId="16" xfId="10" quotePrefix="1" applyFont="1" applyFill="1" applyBorder="1" applyAlignment="1">
      <alignment horizontal="left" vertical="center" wrapText="1"/>
    </xf>
    <xf numFmtId="4" fontId="21" fillId="4" borderId="9" xfId="10" applyNumberFormat="1" applyFont="1" applyFill="1" applyBorder="1" applyAlignment="1">
      <alignment horizontal="right" vertical="center"/>
    </xf>
    <xf numFmtId="10" fontId="36" fillId="7" borderId="13" xfId="10" applyNumberFormat="1" applyFont="1" applyFill="1" applyBorder="1" applyAlignment="1">
      <alignment horizontal="right" vertical="center"/>
    </xf>
    <xf numFmtId="0" fontId="68" fillId="3" borderId="8" xfId="10" quotePrefix="1" applyFont="1" applyFill="1" applyBorder="1" applyAlignment="1">
      <alignment horizontal="left" vertical="center" wrapText="1"/>
    </xf>
    <xf numFmtId="0" fontId="69" fillId="3" borderId="5" xfId="10" quotePrefix="1" applyFont="1" applyFill="1" applyBorder="1" applyAlignment="1">
      <alignment horizontal="left" vertical="center" wrapText="1"/>
    </xf>
    <xf numFmtId="3" fontId="24" fillId="3" borderId="8" xfId="10" applyNumberFormat="1" applyFont="1" applyFill="1" applyBorder="1" applyAlignment="1">
      <alignment horizontal="right" vertical="center"/>
    </xf>
    <xf numFmtId="4" fontId="24" fillId="3" borderId="8" xfId="10" applyNumberFormat="1" applyFont="1" applyFill="1" applyBorder="1" applyAlignment="1">
      <alignment horizontal="right" vertical="center"/>
    </xf>
    <xf numFmtId="10" fontId="24" fillId="3" borderId="8" xfId="10" applyNumberFormat="1" applyFont="1" applyFill="1" applyBorder="1" applyAlignment="1">
      <alignment horizontal="right" vertical="center"/>
    </xf>
    <xf numFmtId="0" fontId="68" fillId="4" borderId="18" xfId="10" applyFont="1" applyFill="1" applyBorder="1" applyAlignment="1">
      <alignment horizontal="center" vertical="center" wrapText="1"/>
    </xf>
    <xf numFmtId="0" fontId="67" fillId="0" borderId="0" xfId="10" quotePrefix="1" applyFont="1" applyAlignment="1">
      <alignment horizontal="left" vertical="center" wrapText="1"/>
    </xf>
    <xf numFmtId="0" fontId="67" fillId="4" borderId="18" xfId="10" quotePrefix="1" applyFont="1" applyFill="1" applyBorder="1" applyAlignment="1">
      <alignment horizontal="center" vertical="center" wrapText="1"/>
    </xf>
    <xf numFmtId="0" fontId="69" fillId="7" borderId="35" xfId="10" quotePrefix="1" applyFont="1" applyFill="1" applyBorder="1" applyAlignment="1">
      <alignment horizontal="left" vertical="center" wrapText="1"/>
    </xf>
    <xf numFmtId="3" fontId="36" fillId="7" borderId="18" xfId="10" applyNumberFormat="1" applyFont="1" applyFill="1" applyBorder="1" applyAlignment="1">
      <alignment horizontal="right" vertical="center"/>
    </xf>
    <xf numFmtId="4" fontId="36" fillId="7" borderId="18" xfId="10" applyNumberFormat="1" applyFont="1" applyFill="1" applyBorder="1" applyAlignment="1">
      <alignment horizontal="right" vertical="center"/>
    </xf>
    <xf numFmtId="10" fontId="36" fillId="7" borderId="18" xfId="10" applyNumberFormat="1" applyFont="1" applyFill="1" applyBorder="1" applyAlignment="1">
      <alignment horizontal="right" vertical="center"/>
    </xf>
    <xf numFmtId="0" fontId="67" fillId="0" borderId="35" xfId="10" quotePrefix="1" applyFont="1" applyBorder="1" applyAlignment="1">
      <alignment horizontal="left" vertical="center" wrapText="1"/>
    </xf>
    <xf numFmtId="10" fontId="21" fillId="0" borderId="18" xfId="10" applyNumberFormat="1" applyFont="1" applyBorder="1" applyAlignment="1">
      <alignment horizontal="right" vertical="center"/>
    </xf>
    <xf numFmtId="0" fontId="69" fillId="7" borderId="22" xfId="10" quotePrefix="1" applyFont="1" applyFill="1" applyBorder="1" applyAlignment="1">
      <alignment horizontal="left" vertical="center" wrapText="1"/>
    </xf>
    <xf numFmtId="0" fontId="62" fillId="3" borderId="11" xfId="10" applyFont="1" applyFill="1" applyBorder="1" applyAlignment="1">
      <alignment vertical="center" wrapText="1"/>
    </xf>
    <xf numFmtId="10" fontId="40" fillId="3" borderId="13" xfId="10" applyNumberFormat="1" applyFont="1" applyFill="1" applyBorder="1" applyAlignment="1">
      <alignment horizontal="right" vertical="center"/>
    </xf>
    <xf numFmtId="0" fontId="63" fillId="7" borderId="33" xfId="10" quotePrefix="1" applyFont="1" applyFill="1" applyBorder="1" applyAlignment="1">
      <alignment horizontal="left" vertical="center" wrapText="1"/>
    </xf>
    <xf numFmtId="0" fontId="43" fillId="4" borderId="27" xfId="10" quotePrefix="1" applyFont="1" applyFill="1" applyBorder="1" applyAlignment="1">
      <alignment horizontal="left" vertical="center" wrapText="1"/>
    </xf>
    <xf numFmtId="3" fontId="2" fillId="4" borderId="16" xfId="10" applyNumberFormat="1" applyFont="1" applyFill="1" applyBorder="1" applyAlignment="1">
      <alignment horizontal="right" vertical="center"/>
    </xf>
    <xf numFmtId="10" fontId="2" fillId="4" borderId="15" xfId="10" applyNumberFormat="1" applyFont="1" applyFill="1" applyBorder="1" applyAlignment="1">
      <alignment horizontal="right" vertical="center"/>
    </xf>
    <xf numFmtId="0" fontId="43" fillId="4" borderId="21" xfId="10" quotePrefix="1" applyFont="1" applyFill="1" applyBorder="1" applyAlignment="1">
      <alignment horizontal="left" vertical="center" wrapText="1"/>
    </xf>
    <xf numFmtId="0" fontId="63" fillId="0" borderId="13" xfId="10" applyFont="1" applyBorder="1" applyAlignment="1">
      <alignment vertical="center" wrapText="1"/>
    </xf>
    <xf numFmtId="0" fontId="43" fillId="4" borderId="32" xfId="10" quotePrefix="1" applyFont="1" applyFill="1" applyBorder="1" applyAlignment="1">
      <alignment horizontal="left" vertical="center" wrapText="1"/>
    </xf>
    <xf numFmtId="3" fontId="2" fillId="4" borderId="13" xfId="10" applyNumberFormat="1" applyFont="1" applyFill="1" applyBorder="1" applyAlignment="1">
      <alignment horizontal="right" vertical="center"/>
    </xf>
    <xf numFmtId="4" fontId="2" fillId="4" borderId="13" xfId="10" applyNumberFormat="1" applyFont="1" applyFill="1" applyBorder="1" applyAlignment="1">
      <alignment horizontal="right" vertical="center"/>
    </xf>
    <xf numFmtId="10" fontId="2" fillId="4" borderId="13" xfId="10" applyNumberFormat="1" applyFont="1" applyFill="1" applyBorder="1" applyAlignment="1">
      <alignment horizontal="right" vertical="center"/>
    </xf>
    <xf numFmtId="0" fontId="63" fillId="0" borderId="3" xfId="10" applyFont="1" applyBorder="1" applyAlignment="1">
      <alignment vertical="center" wrapText="1"/>
    </xf>
    <xf numFmtId="0" fontId="43" fillId="4" borderId="28" xfId="10" applyFont="1" applyFill="1" applyBorder="1" applyAlignment="1">
      <alignment vertical="center" wrapText="1"/>
    </xf>
    <xf numFmtId="0" fontId="43" fillId="4" borderId="18" xfId="10" quotePrefix="1" applyFont="1" applyFill="1" applyBorder="1" applyAlignment="1">
      <alignment horizontal="left" vertical="center" wrapText="1"/>
    </xf>
    <xf numFmtId="0" fontId="63" fillId="4" borderId="13" xfId="10" applyFont="1" applyFill="1" applyBorder="1" applyAlignment="1">
      <alignment vertical="center" wrapText="1"/>
    </xf>
    <xf numFmtId="0" fontId="43" fillId="4" borderId="26" xfId="10" quotePrefix="1" applyFont="1" applyFill="1" applyBorder="1" applyAlignment="1">
      <alignment horizontal="left" vertical="center" wrapText="1"/>
    </xf>
    <xf numFmtId="0" fontId="63" fillId="4" borderId="3" xfId="10" applyFont="1" applyFill="1" applyBorder="1" applyAlignment="1">
      <alignment vertical="center" wrapText="1"/>
    </xf>
    <xf numFmtId="0" fontId="43" fillId="4" borderId="30" xfId="10" quotePrefix="1" applyFont="1" applyFill="1" applyBorder="1" applyAlignment="1">
      <alignment horizontal="left" vertical="center" wrapText="1"/>
    </xf>
    <xf numFmtId="0" fontId="43" fillId="4" borderId="19" xfId="10" quotePrefix="1" applyFont="1" applyFill="1" applyBorder="1" applyAlignment="1">
      <alignment horizontal="left" vertical="center" wrapText="1"/>
    </xf>
    <xf numFmtId="0" fontId="43" fillId="4" borderId="18" xfId="10" quotePrefix="1" applyFont="1" applyFill="1" applyBorder="1" applyAlignment="1">
      <alignment vertical="center" wrapText="1"/>
    </xf>
    <xf numFmtId="0" fontId="43" fillId="4" borderId="21" xfId="10" quotePrefix="1" applyFont="1" applyFill="1" applyBorder="1" applyAlignment="1">
      <alignment vertical="center" wrapText="1"/>
    </xf>
    <xf numFmtId="0" fontId="43" fillId="4" borderId="15" xfId="10" quotePrefix="1" applyFont="1" applyFill="1" applyBorder="1" applyAlignment="1">
      <alignment horizontal="left" vertical="center" wrapText="1"/>
    </xf>
    <xf numFmtId="0" fontId="43" fillId="4" borderId="27" xfId="10" quotePrefix="1" applyFont="1" applyFill="1" applyBorder="1" applyAlignment="1">
      <alignment vertical="center" wrapText="1"/>
    </xf>
    <xf numFmtId="0" fontId="55" fillId="4" borderId="10" xfId="10" quotePrefix="1" applyFont="1" applyFill="1" applyBorder="1" applyAlignment="1">
      <alignment vertical="center" wrapText="1"/>
    </xf>
    <xf numFmtId="0" fontId="55" fillId="4" borderId="9" xfId="10" quotePrefix="1" applyFont="1" applyFill="1" applyBorder="1" applyAlignment="1">
      <alignment horizontal="center" vertical="center" wrapText="1"/>
    </xf>
    <xf numFmtId="0" fontId="43" fillId="4" borderId="33" xfId="10" quotePrefix="1" applyFont="1" applyFill="1" applyBorder="1" applyAlignment="1">
      <alignment vertical="center" wrapText="1"/>
    </xf>
    <xf numFmtId="0" fontId="43" fillId="4" borderId="33" xfId="10" quotePrefix="1" applyFont="1" applyFill="1" applyBorder="1" applyAlignment="1">
      <alignment horizontal="center" vertical="center" wrapText="1"/>
    </xf>
    <xf numFmtId="0" fontId="43" fillId="4" borderId="16" xfId="10" quotePrefix="1" applyFont="1" applyFill="1" applyBorder="1" applyAlignment="1">
      <alignment vertical="center" wrapText="1"/>
    </xf>
    <xf numFmtId="0" fontId="41" fillId="7" borderId="21" xfId="10" quotePrefix="1" applyFont="1" applyFill="1" applyBorder="1" applyAlignment="1">
      <alignment horizontal="left" vertical="center" wrapText="1"/>
    </xf>
    <xf numFmtId="3" fontId="2" fillId="4" borderId="18" xfId="10" applyNumberFormat="1" applyFont="1" applyFill="1" applyBorder="1" applyAlignment="1">
      <alignment horizontal="right" vertical="center"/>
    </xf>
    <xf numFmtId="4" fontId="2" fillId="4" borderId="18" xfId="10" applyNumberFormat="1" applyFont="1" applyFill="1" applyBorder="1" applyAlignment="1">
      <alignment horizontal="right" vertical="center"/>
    </xf>
    <xf numFmtId="3" fontId="2" fillId="4" borderId="26" xfId="10" applyNumberFormat="1" applyFont="1" applyFill="1" applyBorder="1" applyAlignment="1">
      <alignment horizontal="right" vertical="center"/>
    </xf>
    <xf numFmtId="4" fontId="2" fillId="4" borderId="26" xfId="10" applyNumberFormat="1" applyFont="1" applyFill="1" applyBorder="1" applyAlignment="1">
      <alignment horizontal="right" vertical="center"/>
    </xf>
    <xf numFmtId="10" fontId="2" fillId="0" borderId="13" xfId="10" applyNumberFormat="1" applyFont="1" applyBorder="1" applyAlignment="1">
      <alignment horizontal="right" vertical="center"/>
    </xf>
    <xf numFmtId="0" fontId="43" fillId="4" borderId="15" xfId="10" quotePrefix="1" applyFont="1" applyFill="1" applyBorder="1" applyAlignment="1">
      <alignment vertical="center" wrapText="1"/>
    </xf>
    <xf numFmtId="0" fontId="43" fillId="4" borderId="13" xfId="10" quotePrefix="1" applyFont="1" applyFill="1" applyBorder="1" applyAlignment="1">
      <alignment vertical="center" wrapText="1"/>
    </xf>
    <xf numFmtId="0" fontId="43" fillId="4" borderId="11" xfId="10" quotePrefix="1" applyFont="1" applyFill="1" applyBorder="1" applyAlignment="1">
      <alignment horizontal="center" vertical="center" wrapText="1"/>
    </xf>
    <xf numFmtId="0" fontId="75" fillId="5" borderId="8" xfId="1" applyFont="1" applyFill="1" applyBorder="1" applyAlignment="1">
      <alignment horizontal="center" vertical="center" wrapText="1"/>
    </xf>
    <xf numFmtId="0" fontId="75" fillId="5" borderId="7" xfId="1" applyFont="1" applyFill="1" applyBorder="1" applyAlignment="1">
      <alignment horizontal="center" vertical="center" wrapText="1"/>
    </xf>
    <xf numFmtId="0" fontId="75" fillId="5" borderId="8" xfId="1" applyFont="1" applyFill="1" applyBorder="1" applyAlignment="1">
      <alignment vertical="center" wrapText="1"/>
    </xf>
    <xf numFmtId="0" fontId="75" fillId="5" borderId="2" xfId="1" applyFont="1" applyFill="1" applyBorder="1" applyAlignment="1">
      <alignment vertical="center" wrapText="1"/>
    </xf>
    <xf numFmtId="3" fontId="65" fillId="5" borderId="3" xfId="10" applyNumberFormat="1" applyFont="1" applyFill="1" applyBorder="1" applyAlignment="1">
      <alignment horizontal="right" vertical="center"/>
    </xf>
    <xf numFmtId="4" fontId="65" fillId="5" borderId="3" xfId="10" applyNumberFormat="1" applyFont="1" applyFill="1" applyBorder="1" applyAlignment="1">
      <alignment horizontal="right" vertical="center"/>
    </xf>
    <xf numFmtId="10" fontId="65" fillId="5" borderId="3" xfId="10" applyNumberFormat="1" applyFont="1" applyFill="1" applyBorder="1" applyAlignment="1">
      <alignment horizontal="right" vertical="center"/>
    </xf>
    <xf numFmtId="0" fontId="73" fillId="4" borderId="3" xfId="1" applyFont="1" applyFill="1" applyBorder="1" applyAlignment="1">
      <alignment vertical="center" wrapText="1"/>
    </xf>
    <xf numFmtId="0" fontId="62" fillId="3" borderId="7" xfId="1" applyFont="1" applyFill="1" applyBorder="1" applyAlignment="1">
      <alignment horizontal="center" vertical="center" wrapText="1"/>
    </xf>
    <xf numFmtId="0" fontId="62" fillId="3" borderId="8" xfId="1" applyFont="1" applyFill="1" applyBorder="1" applyAlignment="1">
      <alignment vertical="center" wrapText="1"/>
    </xf>
    <xf numFmtId="0" fontId="62" fillId="3" borderId="2" xfId="1" applyFont="1" applyFill="1" applyBorder="1" applyAlignment="1">
      <alignment vertical="center" wrapText="1"/>
    </xf>
    <xf numFmtId="3" fontId="65" fillId="3" borderId="3" xfId="10" applyNumberFormat="1" applyFont="1" applyFill="1" applyBorder="1" applyAlignment="1">
      <alignment horizontal="right" vertical="center"/>
    </xf>
    <xf numFmtId="4" fontId="65" fillId="3" borderId="3" xfId="10" applyNumberFormat="1" applyFont="1" applyFill="1" applyBorder="1" applyAlignment="1">
      <alignment horizontal="right" vertical="center"/>
    </xf>
    <xf numFmtId="10" fontId="65" fillId="3" borderId="3" xfId="10" applyNumberFormat="1" applyFont="1" applyFill="1" applyBorder="1" applyAlignment="1">
      <alignment horizontal="right" vertical="center"/>
    </xf>
    <xf numFmtId="0" fontId="73" fillId="4" borderId="9" xfId="1" applyFont="1" applyFill="1" applyBorder="1" applyAlignment="1">
      <alignment vertical="center" wrapText="1"/>
    </xf>
    <xf numFmtId="0" fontId="63" fillId="7" borderId="23" xfId="1" applyFont="1" applyFill="1" applyBorder="1" applyAlignment="1">
      <alignment horizontal="left" vertical="center" wrapText="1"/>
    </xf>
    <xf numFmtId="0" fontId="62" fillId="4" borderId="27" xfId="1" applyFont="1" applyFill="1" applyBorder="1" applyAlignment="1">
      <alignment horizontal="center" vertical="center" wrapText="1"/>
    </xf>
    <xf numFmtId="0" fontId="73" fillId="0" borderId="20" xfId="1" applyFont="1" applyBorder="1" applyAlignment="1">
      <alignment vertical="center" wrapText="1"/>
    </xf>
    <xf numFmtId="0" fontId="73" fillId="4" borderId="25" xfId="1" applyFont="1" applyFill="1" applyBorder="1" applyAlignment="1">
      <alignment horizontal="center" vertical="center" wrapText="1"/>
    </xf>
    <xf numFmtId="0" fontId="63" fillId="7" borderId="70" xfId="1" applyFont="1" applyFill="1" applyBorder="1" applyAlignment="1">
      <alignment horizontal="left" vertical="center" wrapText="1"/>
    </xf>
    <xf numFmtId="0" fontId="61" fillId="5" borderId="8" xfId="10" applyFont="1" applyFill="1" applyBorder="1" applyAlignment="1">
      <alignment horizontal="center" vertical="center" wrapText="1"/>
    </xf>
    <xf numFmtId="0" fontId="43" fillId="0" borderId="3" xfId="10" applyFont="1" applyBorder="1" applyAlignment="1">
      <alignment vertical="center" wrapText="1"/>
    </xf>
    <xf numFmtId="0" fontId="41" fillId="7" borderId="24" xfId="10" applyFont="1" applyFill="1" applyBorder="1" applyAlignment="1">
      <alignment horizontal="left" vertical="center" wrapText="1"/>
    </xf>
    <xf numFmtId="3" fontId="13" fillId="3" borderId="9" xfId="10" applyNumberFormat="1" applyFont="1" applyFill="1" applyBorder="1" applyAlignment="1">
      <alignment horizontal="right" vertical="center"/>
    </xf>
    <xf numFmtId="4" fontId="13" fillId="3" borderId="9" xfId="10" applyNumberFormat="1" applyFont="1" applyFill="1" applyBorder="1" applyAlignment="1">
      <alignment horizontal="right" vertical="center"/>
    </xf>
    <xf numFmtId="10" fontId="13" fillId="3" borderId="9" xfId="10" applyNumberFormat="1" applyFont="1" applyFill="1" applyBorder="1" applyAlignment="1">
      <alignment horizontal="right" vertical="center"/>
    </xf>
    <xf numFmtId="0" fontId="41" fillId="7" borderId="23" xfId="10" applyFont="1" applyFill="1" applyBorder="1" applyAlignment="1">
      <alignment horizontal="left" vertical="center" wrapText="1"/>
    </xf>
    <xf numFmtId="0" fontId="40" fillId="5" borderId="7" xfId="1" applyFont="1" applyFill="1" applyBorder="1" applyAlignment="1">
      <alignment horizontal="center" vertical="center" wrapText="1"/>
    </xf>
    <xf numFmtId="0" fontId="40" fillId="5" borderId="8" xfId="1" applyFont="1" applyFill="1" applyBorder="1" applyAlignment="1">
      <alignment vertical="center" wrapText="1"/>
    </xf>
    <xf numFmtId="0" fontId="40" fillId="5" borderId="2" xfId="1" applyFont="1" applyFill="1" applyBorder="1" applyAlignment="1">
      <alignment vertical="center" wrapText="1"/>
    </xf>
    <xf numFmtId="0" fontId="55" fillId="4" borderId="3" xfId="1" applyFont="1" applyFill="1" applyBorder="1" applyAlignment="1">
      <alignment vertical="center" wrapText="1"/>
    </xf>
    <xf numFmtId="0" fontId="61" fillId="3" borderId="7" xfId="1" applyFont="1" applyFill="1" applyBorder="1" applyAlignment="1">
      <alignment horizontal="center" vertical="center" wrapText="1"/>
    </xf>
    <xf numFmtId="0" fontId="61" fillId="3" borderId="8" xfId="1" applyFont="1" applyFill="1" applyBorder="1" applyAlignment="1">
      <alignment vertical="center" wrapText="1"/>
    </xf>
    <xf numFmtId="0" fontId="61" fillId="3" borderId="2" xfId="1" applyFont="1" applyFill="1" applyBorder="1" applyAlignment="1">
      <alignment vertical="center" wrapText="1"/>
    </xf>
    <xf numFmtId="0" fontId="55" fillId="4" borderId="9" xfId="1" applyFont="1" applyFill="1" applyBorder="1" applyAlignment="1">
      <alignment vertical="center" wrapText="1"/>
    </xf>
    <xf numFmtId="0" fontId="41" fillId="7" borderId="23" xfId="1" applyFont="1" applyFill="1" applyBorder="1" applyAlignment="1">
      <alignment horizontal="left" vertical="center" wrapText="1"/>
    </xf>
    <xf numFmtId="0" fontId="61" fillId="4" borderId="27" xfId="1" applyFont="1" applyFill="1" applyBorder="1" applyAlignment="1">
      <alignment horizontal="center" vertical="center" wrapText="1"/>
    </xf>
    <xf numFmtId="0" fontId="43" fillId="0" borderId="20" xfId="1" applyFont="1" applyBorder="1" applyAlignment="1">
      <alignment vertical="center" wrapText="1"/>
    </xf>
    <xf numFmtId="0" fontId="43" fillId="4" borderId="25" xfId="1" applyFont="1" applyFill="1" applyBorder="1" applyAlignment="1">
      <alignment horizontal="center" vertical="center" wrapText="1"/>
    </xf>
    <xf numFmtId="0" fontId="41" fillId="7" borderId="32" xfId="1" applyFont="1" applyFill="1" applyBorder="1" applyAlignment="1">
      <alignment horizontal="left" vertical="center" wrapText="1"/>
    </xf>
    <xf numFmtId="0" fontId="41" fillId="7" borderId="34" xfId="1" applyFont="1" applyFill="1" applyBorder="1" applyAlignment="1">
      <alignment horizontal="left" vertical="center" wrapText="1"/>
    </xf>
    <xf numFmtId="4" fontId="9" fillId="7" borderId="24" xfId="10" applyNumberFormat="1" applyFont="1" applyFill="1" applyBorder="1" applyAlignment="1">
      <alignment horizontal="right" vertical="center"/>
    </xf>
    <xf numFmtId="0" fontId="79" fillId="0" borderId="0" xfId="10" applyFont="1"/>
    <xf numFmtId="0" fontId="43" fillId="0" borderId="15" xfId="1" quotePrefix="1" applyFont="1" applyBorder="1" applyAlignment="1">
      <alignment horizontal="left" vertical="center" wrapText="1"/>
    </xf>
    <xf numFmtId="0" fontId="43" fillId="0" borderId="16" xfId="1" applyFont="1" applyBorder="1" applyAlignment="1">
      <alignment horizontal="center" vertical="center" wrapText="1"/>
    </xf>
    <xf numFmtId="4" fontId="2" fillId="0" borderId="23" xfId="10" applyNumberFormat="1" applyFont="1" applyBorder="1" applyAlignment="1">
      <alignment horizontal="right" vertical="center"/>
    </xf>
    <xf numFmtId="0" fontId="43" fillId="0" borderId="21" xfId="1" applyFont="1" applyBorder="1" applyAlignment="1">
      <alignment horizontal="left" vertical="center" wrapText="1"/>
    </xf>
    <xf numFmtId="0" fontId="43" fillId="0" borderId="27" xfId="1" applyFont="1" applyBorder="1" applyAlignment="1">
      <alignment horizontal="center" vertical="center" wrapText="1"/>
    </xf>
    <xf numFmtId="4" fontId="2" fillId="0" borderId="25" xfId="10" applyNumberFormat="1" applyFont="1" applyBorder="1" applyAlignment="1">
      <alignment horizontal="right" vertical="center"/>
    </xf>
    <xf numFmtId="0" fontId="43" fillId="7" borderId="17" xfId="1" applyFont="1" applyFill="1" applyBorder="1" applyAlignment="1">
      <alignment horizontal="center" vertical="center" wrapText="1"/>
    </xf>
    <xf numFmtId="4" fontId="9" fillId="7" borderId="23" xfId="10" applyNumberFormat="1" applyFont="1" applyFill="1" applyBorder="1" applyAlignment="1">
      <alignment horizontal="right" vertical="center"/>
    </xf>
    <xf numFmtId="0" fontId="41" fillId="4" borderId="26" xfId="1" applyFont="1" applyFill="1" applyBorder="1" applyAlignment="1">
      <alignment vertical="center" wrapText="1"/>
    </xf>
    <xf numFmtId="0" fontId="43" fillId="0" borderId="31" xfId="1" applyFont="1" applyBorder="1" applyAlignment="1">
      <alignment vertical="center" wrapText="1"/>
    </xf>
    <xf numFmtId="0" fontId="43" fillId="4" borderId="22" xfId="1" applyFont="1" applyFill="1" applyBorder="1" applyAlignment="1">
      <alignment horizontal="center" vertical="center" wrapText="1"/>
    </xf>
    <xf numFmtId="4" fontId="2" fillId="0" borderId="11" xfId="10" applyNumberFormat="1" applyFont="1" applyBorder="1" applyAlignment="1">
      <alignment horizontal="right" vertical="center"/>
    </xf>
    <xf numFmtId="0" fontId="61" fillId="4" borderId="19" xfId="1" applyFont="1" applyFill="1" applyBorder="1" applyAlignment="1">
      <alignment horizontal="center" vertical="center" wrapText="1"/>
    </xf>
    <xf numFmtId="0" fontId="43" fillId="0" borderId="35" xfId="1" applyFont="1" applyBorder="1" applyAlignment="1">
      <alignment vertical="center" wrapText="1"/>
    </xf>
    <xf numFmtId="0" fontId="43" fillId="4" borderId="70" xfId="1" applyFont="1" applyFill="1" applyBorder="1" applyAlignment="1">
      <alignment horizontal="center" vertical="center" wrapText="1"/>
    </xf>
    <xf numFmtId="0" fontId="61" fillId="3" borderId="8" xfId="1" applyFont="1" applyFill="1" applyBorder="1" applyAlignment="1">
      <alignment horizontal="center" vertical="center" wrapText="1"/>
    </xf>
    <xf numFmtId="0" fontId="43" fillId="4" borderId="20" xfId="1" applyFont="1" applyFill="1" applyBorder="1" applyAlignment="1">
      <alignment vertical="center" wrapText="1"/>
    </xf>
    <xf numFmtId="49" fontId="43" fillId="4" borderId="25" xfId="1" applyNumberFormat="1" applyFont="1" applyFill="1" applyBorder="1" applyAlignment="1">
      <alignment horizontal="center" vertical="center" wrapText="1"/>
    </xf>
    <xf numFmtId="0" fontId="55" fillId="4" borderId="13" xfId="1" applyFont="1" applyFill="1" applyBorder="1" applyAlignment="1">
      <alignment vertical="center" wrapText="1"/>
    </xf>
    <xf numFmtId="0" fontId="64" fillId="3" borderId="13" xfId="1" applyFont="1" applyFill="1" applyBorder="1" applyAlignment="1">
      <alignment horizontal="center" vertical="center" wrapText="1"/>
    </xf>
    <xf numFmtId="0" fontId="64" fillId="3" borderId="13" xfId="1" applyFont="1" applyFill="1" applyBorder="1" applyAlignment="1">
      <alignment vertical="center" wrapText="1"/>
    </xf>
    <xf numFmtId="0" fontId="64" fillId="3" borderId="11" xfId="1" applyFont="1" applyFill="1" applyBorder="1" applyAlignment="1">
      <alignment vertical="center" wrapText="1"/>
    </xf>
    <xf numFmtId="3" fontId="27" fillId="7" borderId="33" xfId="10" applyNumberFormat="1" applyFont="1" applyFill="1" applyBorder="1" applyAlignment="1">
      <alignment horizontal="right" vertical="center"/>
    </xf>
    <xf numFmtId="4" fontId="27" fillId="7" borderId="33" xfId="10" applyNumberFormat="1" applyFont="1" applyFill="1" applyBorder="1" applyAlignment="1">
      <alignment horizontal="right" vertical="center"/>
    </xf>
    <xf numFmtId="10" fontId="27" fillId="7" borderId="21" xfId="10" applyNumberFormat="1" applyFont="1" applyFill="1" applyBorder="1" applyAlignment="1">
      <alignment horizontal="right" vertical="center"/>
    </xf>
    <xf numFmtId="0" fontId="64" fillId="4" borderId="19" xfId="1" applyFont="1" applyFill="1" applyBorder="1" applyAlignment="1">
      <alignment horizontal="center" vertical="center" wrapText="1"/>
    </xf>
    <xf numFmtId="0" fontId="55" fillId="4" borderId="35" xfId="1" applyFont="1" applyFill="1" applyBorder="1" applyAlignment="1">
      <alignment vertical="center" wrapText="1"/>
    </xf>
    <xf numFmtId="49" fontId="55" fillId="4" borderId="70" xfId="1" applyNumberFormat="1" applyFont="1" applyFill="1" applyBorder="1" applyAlignment="1">
      <alignment horizontal="center" vertical="center" wrapText="1"/>
    </xf>
    <xf numFmtId="3" fontId="6" fillId="0" borderId="18" xfId="10" applyNumberFormat="1" applyFont="1" applyBorder="1" applyAlignment="1">
      <alignment horizontal="right" vertical="center"/>
    </xf>
    <xf numFmtId="4" fontId="6" fillId="0" borderId="18" xfId="10" applyNumberFormat="1" applyFont="1" applyBorder="1" applyAlignment="1">
      <alignment horizontal="right" vertical="center"/>
    </xf>
    <xf numFmtId="10" fontId="6" fillId="0" borderId="18" xfId="10" applyNumberFormat="1" applyFont="1" applyBorder="1" applyAlignment="1">
      <alignment horizontal="right" vertical="center"/>
    </xf>
    <xf numFmtId="0" fontId="43" fillId="0" borderId="23" xfId="1" quotePrefix="1" applyFont="1" applyBorder="1" applyAlignment="1">
      <alignment horizontal="left" vertical="center" wrapText="1"/>
    </xf>
    <xf numFmtId="0" fontId="41" fillId="7" borderId="70" xfId="1" applyFont="1" applyFill="1" applyBorder="1" applyAlignment="1">
      <alignment horizontal="left" vertical="center" wrapText="1"/>
    </xf>
    <xf numFmtId="0" fontId="41" fillId="7" borderId="14" xfId="1" applyFont="1" applyFill="1" applyBorder="1" applyAlignment="1">
      <alignment horizontal="left" vertical="center" wrapText="1"/>
    </xf>
    <xf numFmtId="0" fontId="43" fillId="0" borderId="25" xfId="1" applyFont="1" applyBorder="1" applyAlignment="1">
      <alignment vertical="center" wrapText="1"/>
    </xf>
    <xf numFmtId="0" fontId="41" fillId="7" borderId="11" xfId="1" applyFont="1" applyFill="1" applyBorder="1" applyAlignment="1">
      <alignment horizontal="left" vertical="center" wrapText="1"/>
    </xf>
    <xf numFmtId="0" fontId="41" fillId="7" borderId="3" xfId="1" applyFont="1" applyFill="1" applyBorder="1" applyAlignment="1">
      <alignment horizontal="left" vertical="center" wrapText="1"/>
    </xf>
    <xf numFmtId="0" fontId="43" fillId="4" borderId="17" xfId="1" applyFont="1" applyFill="1" applyBorder="1" applyAlignment="1">
      <alignment vertical="center" wrapText="1"/>
    </xf>
    <xf numFmtId="0" fontId="43" fillId="4" borderId="35" xfId="1" applyFont="1" applyFill="1" applyBorder="1" applyAlignment="1">
      <alignment vertical="center" wrapText="1"/>
    </xf>
    <xf numFmtId="4" fontId="2" fillId="4" borderId="9" xfId="10" applyNumberFormat="1" applyFont="1" applyFill="1" applyBorder="1" applyAlignment="1">
      <alignment horizontal="right" vertical="center"/>
    </xf>
    <xf numFmtId="0" fontId="43" fillId="4" borderId="21" xfId="1" applyFont="1" applyFill="1" applyBorder="1" applyAlignment="1">
      <alignment horizontal="center" vertical="center" wrapText="1"/>
    </xf>
    <xf numFmtId="0" fontId="41" fillId="7" borderId="21" xfId="1" applyFont="1" applyFill="1" applyBorder="1" applyAlignment="1">
      <alignment horizontal="center" vertical="center" wrapText="1"/>
    </xf>
    <xf numFmtId="0" fontId="41" fillId="4" borderId="18" xfId="1" applyFont="1" applyFill="1" applyBorder="1" applyAlignment="1">
      <alignment vertical="center" wrapText="1"/>
    </xf>
    <xf numFmtId="0" fontId="43" fillId="4" borderId="20" xfId="1" applyFont="1" applyFill="1" applyBorder="1" applyAlignment="1">
      <alignment horizontal="left" vertical="center" wrapText="1"/>
    </xf>
    <xf numFmtId="0" fontId="41" fillId="4" borderId="13" xfId="1" applyFont="1" applyFill="1" applyBorder="1" applyAlignment="1">
      <alignment vertical="center" wrapText="1"/>
    </xf>
    <xf numFmtId="0" fontId="43" fillId="4" borderId="32" xfId="1" applyFont="1" applyFill="1" applyBorder="1" applyAlignment="1">
      <alignment horizontal="left" vertical="center" wrapText="1"/>
    </xf>
    <xf numFmtId="0" fontId="43" fillId="4" borderId="26" xfId="1" applyFont="1" applyFill="1" applyBorder="1" applyAlignment="1">
      <alignment horizontal="center" vertical="center" wrapText="1"/>
    </xf>
    <xf numFmtId="0" fontId="41" fillId="4" borderId="9" xfId="1" applyFont="1" applyFill="1" applyBorder="1" applyAlignment="1">
      <alignment vertical="center" wrapText="1"/>
    </xf>
    <xf numFmtId="0" fontId="43" fillId="4" borderId="14" xfId="1" applyFont="1" applyFill="1" applyBorder="1" applyAlignment="1">
      <alignment horizontal="left" vertical="center" wrapText="1"/>
    </xf>
    <xf numFmtId="0" fontId="43" fillId="4" borderId="70" xfId="1" applyFont="1" applyFill="1" applyBorder="1" applyAlignment="1">
      <alignment horizontal="left" vertical="center" wrapText="1"/>
    </xf>
    <xf numFmtId="0" fontId="43" fillId="4" borderId="26" xfId="1" applyFont="1" applyFill="1" applyBorder="1" applyAlignment="1">
      <alignment horizontal="left" vertical="center" wrapText="1"/>
    </xf>
    <xf numFmtId="3" fontId="40" fillId="3" borderId="8" xfId="10" applyNumberFormat="1" applyFont="1" applyFill="1" applyBorder="1" applyAlignment="1">
      <alignment horizontal="right" vertical="center"/>
    </xf>
    <xf numFmtId="0" fontId="43" fillId="4" borderId="21" xfId="1" applyFont="1" applyFill="1" applyBorder="1" applyAlignment="1">
      <alignment horizontal="left" vertical="center" wrapText="1"/>
    </xf>
    <xf numFmtId="0" fontId="43" fillId="4" borderId="25" xfId="1" applyFont="1" applyFill="1" applyBorder="1" applyAlignment="1">
      <alignment horizontal="left" vertical="center" wrapText="1"/>
    </xf>
    <xf numFmtId="0" fontId="43" fillId="4" borderId="18" xfId="1" applyFont="1" applyFill="1" applyBorder="1" applyAlignment="1">
      <alignment vertical="center" wrapText="1"/>
    </xf>
    <xf numFmtId="0" fontId="43" fillId="4" borderId="15" xfId="1" applyFont="1" applyFill="1" applyBorder="1" applyAlignment="1">
      <alignment horizontal="center" vertical="center" wrapText="1"/>
    </xf>
    <xf numFmtId="0" fontId="52" fillId="14" borderId="0" xfId="10" applyFill="1"/>
    <xf numFmtId="0" fontId="43" fillId="4" borderId="21" xfId="1" applyFont="1" applyFill="1" applyBorder="1" applyAlignment="1">
      <alignment vertical="center" wrapText="1"/>
    </xf>
    <xf numFmtId="0" fontId="52" fillId="3" borderId="0" xfId="10" applyFill="1"/>
    <xf numFmtId="0" fontId="41" fillId="7" borderId="23" xfId="1" applyFont="1" applyFill="1" applyBorder="1" applyAlignment="1">
      <alignment horizontal="center" vertical="center" wrapText="1"/>
    </xf>
    <xf numFmtId="0" fontId="41" fillId="4" borderId="18" xfId="1" applyFont="1" applyFill="1" applyBorder="1" applyAlignment="1">
      <alignment horizontal="left" vertical="center" wrapText="1"/>
    </xf>
    <xf numFmtId="0" fontId="41" fillId="4" borderId="9" xfId="1" applyFont="1" applyFill="1" applyBorder="1" applyAlignment="1">
      <alignment horizontal="left" vertical="center" wrapText="1"/>
    </xf>
    <xf numFmtId="0" fontId="41" fillId="4" borderId="13" xfId="1" applyFont="1" applyFill="1" applyBorder="1" applyAlignment="1">
      <alignment horizontal="left" vertical="center" wrapText="1"/>
    </xf>
    <xf numFmtId="0" fontId="73" fillId="0" borderId="13" xfId="1" applyFont="1" applyBorder="1" applyAlignment="1">
      <alignment vertical="center" wrapText="1"/>
    </xf>
    <xf numFmtId="0" fontId="63" fillId="0" borderId="10" xfId="1" applyFont="1" applyBorder="1" applyAlignment="1">
      <alignment horizontal="left" vertical="center" wrapText="1"/>
    </xf>
    <xf numFmtId="0" fontId="55" fillId="0" borderId="9" xfId="10" applyFont="1" applyBorder="1" applyAlignment="1">
      <alignment horizontal="left" vertical="center" wrapText="1"/>
    </xf>
    <xf numFmtId="0" fontId="55" fillId="0" borderId="14" xfId="1" applyFont="1" applyBorder="1" applyAlignment="1">
      <alignment horizontal="center" vertical="center" wrapText="1"/>
    </xf>
    <xf numFmtId="0" fontId="75" fillId="0" borderId="3" xfId="1" applyFont="1" applyBorder="1" applyAlignment="1">
      <alignment vertical="center" wrapText="1"/>
    </xf>
    <xf numFmtId="0" fontId="61" fillId="3" borderId="8" xfId="1" applyFont="1" applyFill="1" applyBorder="1" applyAlignment="1">
      <alignment horizontal="left" vertical="center" wrapText="1"/>
    </xf>
    <xf numFmtId="0" fontId="61" fillId="3" borderId="2" xfId="1" applyFont="1" applyFill="1" applyBorder="1" applyAlignment="1">
      <alignment horizontal="left" vertical="center" wrapText="1"/>
    </xf>
    <xf numFmtId="0" fontId="75" fillId="0" borderId="9" xfId="1" applyFont="1" applyBorder="1" applyAlignment="1">
      <alignment vertical="center" wrapText="1"/>
    </xf>
    <xf numFmtId="0" fontId="43" fillId="0" borderId="21" xfId="1" applyFont="1" applyBorder="1" applyAlignment="1">
      <alignment vertical="center" wrapText="1"/>
    </xf>
    <xf numFmtId="49" fontId="43" fillId="0" borderId="25" xfId="10" applyNumberFormat="1" applyFont="1" applyBorder="1" applyAlignment="1">
      <alignment horizontal="center" vertical="center" wrapText="1"/>
    </xf>
    <xf numFmtId="0" fontId="55" fillId="4" borderId="0" xfId="1" applyFont="1" applyFill="1" applyAlignment="1">
      <alignment horizontal="left" vertical="center" wrapText="1"/>
    </xf>
    <xf numFmtId="49" fontId="55" fillId="4" borderId="14" xfId="10" applyNumberFormat="1" applyFont="1" applyFill="1" applyBorder="1" applyAlignment="1">
      <alignment horizontal="center" vertical="center" wrapText="1"/>
    </xf>
    <xf numFmtId="3" fontId="6" fillId="0" borderId="15" xfId="10" applyNumberFormat="1" applyFont="1" applyBorder="1" applyAlignment="1">
      <alignment horizontal="right" vertical="center"/>
    </xf>
    <xf numFmtId="4" fontId="6" fillId="0" borderId="15" xfId="10" applyNumberFormat="1" applyFont="1" applyBorder="1" applyAlignment="1">
      <alignment horizontal="right" vertical="center"/>
    </xf>
    <xf numFmtId="0" fontId="43" fillId="4" borderId="17" xfId="1" applyFont="1" applyFill="1" applyBorder="1" applyAlignment="1">
      <alignment horizontal="left" vertical="center" wrapText="1"/>
    </xf>
    <xf numFmtId="0" fontId="62" fillId="3" borderId="12" xfId="1" applyFont="1" applyFill="1" applyBorder="1" applyAlignment="1">
      <alignment horizontal="center" vertical="center" wrapText="1"/>
    </xf>
    <xf numFmtId="0" fontId="62" fillId="3" borderId="13" xfId="1" applyFont="1" applyFill="1" applyBorder="1" applyAlignment="1">
      <alignment horizontal="left" vertical="center" wrapText="1"/>
    </xf>
    <xf numFmtId="0" fontId="62" fillId="3" borderId="11" xfId="1" applyFont="1" applyFill="1" applyBorder="1" applyAlignment="1">
      <alignment horizontal="left" vertical="center" wrapText="1"/>
    </xf>
    <xf numFmtId="3" fontId="65" fillId="3" borderId="9" xfId="10" applyNumberFormat="1" applyFont="1" applyFill="1" applyBorder="1" applyAlignment="1">
      <alignment horizontal="right" vertical="center"/>
    </xf>
    <xf numFmtId="4" fontId="65" fillId="3" borderId="9" xfId="10" applyNumberFormat="1" applyFont="1" applyFill="1" applyBorder="1" applyAlignment="1">
      <alignment horizontal="right" vertical="center"/>
    </xf>
    <xf numFmtId="10" fontId="65" fillId="3" borderId="9" xfId="10" applyNumberFormat="1" applyFont="1" applyFill="1" applyBorder="1" applyAlignment="1">
      <alignment horizontal="right" vertical="center"/>
    </xf>
    <xf numFmtId="0" fontId="72" fillId="7" borderId="14" xfId="1" applyFont="1" applyFill="1" applyBorder="1" applyAlignment="1">
      <alignment horizontal="left" vertical="center" wrapText="1"/>
    </xf>
    <xf numFmtId="0" fontId="72" fillId="4" borderId="21" xfId="1" applyFont="1" applyFill="1" applyBorder="1" applyAlignment="1">
      <alignment vertical="center" wrapText="1"/>
    </xf>
    <xf numFmtId="0" fontId="73" fillId="0" borderId="21" xfId="1" applyFont="1" applyBorder="1" applyAlignment="1">
      <alignment vertical="center" wrapText="1"/>
    </xf>
    <xf numFmtId="49" fontId="73" fillId="4" borderId="25" xfId="10" applyNumberFormat="1" applyFont="1" applyFill="1" applyBorder="1" applyAlignment="1">
      <alignment horizontal="center" vertical="center" wrapText="1"/>
    </xf>
    <xf numFmtId="0" fontId="72" fillId="7" borderId="11" xfId="1" applyFont="1" applyFill="1" applyBorder="1" applyAlignment="1">
      <alignment horizontal="left" vertical="center" wrapText="1"/>
    </xf>
    <xf numFmtId="3" fontId="27" fillId="7" borderId="13" xfId="10" applyNumberFormat="1" applyFont="1" applyFill="1" applyBorder="1" applyAlignment="1">
      <alignment horizontal="right" vertical="center"/>
    </xf>
    <xf numFmtId="4" fontId="27" fillId="7" borderId="13" xfId="10" applyNumberFormat="1" applyFont="1" applyFill="1" applyBorder="1" applyAlignment="1">
      <alignment horizontal="right" vertical="center"/>
    </xf>
    <xf numFmtId="10" fontId="27" fillId="7" borderId="13" xfId="10" applyNumberFormat="1" applyFont="1" applyFill="1" applyBorder="1" applyAlignment="1">
      <alignment horizontal="right" vertical="center"/>
    </xf>
    <xf numFmtId="0" fontId="43" fillId="0" borderId="23" xfId="1" applyFont="1" applyBorder="1" applyAlignment="1">
      <alignment horizontal="left" vertical="center" wrapText="1"/>
    </xf>
    <xf numFmtId="0" fontId="43" fillId="4" borderId="15" xfId="1" applyFont="1" applyFill="1" applyBorder="1" applyAlignment="1">
      <alignment horizontal="left" vertical="center" wrapText="1"/>
    </xf>
    <xf numFmtId="49" fontId="41" fillId="7" borderId="14" xfId="1" applyNumberFormat="1" applyFont="1" applyFill="1" applyBorder="1" applyAlignment="1">
      <alignment horizontal="center" vertical="center" wrapText="1"/>
    </xf>
    <xf numFmtId="49" fontId="41" fillId="7" borderId="33" xfId="1" applyNumberFormat="1" applyFont="1" applyFill="1" applyBorder="1" applyAlignment="1">
      <alignment horizontal="center" vertical="center" wrapText="1"/>
    </xf>
    <xf numFmtId="3" fontId="9" fillId="7" borderId="34" xfId="10" applyNumberFormat="1" applyFont="1" applyFill="1" applyBorder="1" applyAlignment="1">
      <alignment horizontal="right" vertical="center"/>
    </xf>
    <xf numFmtId="10" fontId="9" fillId="7" borderId="30" xfId="10" applyNumberFormat="1" applyFont="1" applyFill="1" applyBorder="1" applyAlignment="1">
      <alignment horizontal="right" vertical="center"/>
    </xf>
    <xf numFmtId="49" fontId="43" fillId="0" borderId="21" xfId="1" applyNumberFormat="1" applyFont="1" applyBorder="1" applyAlignment="1">
      <alignment horizontal="center" vertical="center" wrapText="1"/>
    </xf>
    <xf numFmtId="0" fontId="75" fillId="0" borderId="13" xfId="1" applyFont="1" applyBorder="1" applyAlignment="1">
      <alignment vertical="center" wrapText="1"/>
    </xf>
    <xf numFmtId="49" fontId="43" fillId="0" borderId="26" xfId="1" applyNumberFormat="1" applyFont="1" applyBorder="1" applyAlignment="1">
      <alignment horizontal="center" vertical="center" wrapText="1"/>
    </xf>
    <xf numFmtId="3" fontId="2" fillId="0" borderId="22" xfId="10" applyNumberFormat="1" applyFont="1" applyBorder="1" applyAlignment="1">
      <alignment horizontal="right" vertical="center"/>
    </xf>
    <xf numFmtId="0" fontId="43" fillId="4" borderId="24" xfId="1" applyFont="1" applyFill="1" applyBorder="1" applyAlignment="1">
      <alignment horizontal="left" vertical="center" wrapText="1"/>
    </xf>
    <xf numFmtId="49" fontId="43" fillId="4" borderId="33" xfId="1" applyNumberFormat="1" applyFont="1" applyFill="1" applyBorder="1" applyAlignment="1">
      <alignment horizontal="center" vertical="center" wrapText="1"/>
    </xf>
    <xf numFmtId="3" fontId="2" fillId="4" borderId="34" xfId="10" applyNumberFormat="1" applyFont="1" applyFill="1" applyBorder="1" applyAlignment="1">
      <alignment horizontal="right" vertical="center"/>
    </xf>
    <xf numFmtId="3" fontId="2" fillId="4" borderId="33" xfId="10" applyNumberFormat="1" applyFont="1" applyFill="1" applyBorder="1" applyAlignment="1">
      <alignment horizontal="right" vertical="center"/>
    </xf>
    <xf numFmtId="4" fontId="2" fillId="4" borderId="33" xfId="10" applyNumberFormat="1" applyFont="1" applyFill="1" applyBorder="1" applyAlignment="1">
      <alignment horizontal="right" vertical="center"/>
    </xf>
    <xf numFmtId="10" fontId="9" fillId="0" borderId="30" xfId="10" applyNumberFormat="1" applyFont="1" applyBorder="1" applyAlignment="1">
      <alignment horizontal="right" vertical="center"/>
    </xf>
    <xf numFmtId="0" fontId="43" fillId="4" borderId="16" xfId="1" applyFont="1" applyFill="1" applyBorder="1" applyAlignment="1">
      <alignment horizontal="left" vertical="center" wrapText="1"/>
    </xf>
    <xf numFmtId="49" fontId="43" fillId="4" borderId="9" xfId="1" applyNumberFormat="1" applyFont="1" applyFill="1" applyBorder="1" applyAlignment="1">
      <alignment horizontal="center" vertical="center" wrapText="1"/>
    </xf>
    <xf numFmtId="3" fontId="2" fillId="4" borderId="17" xfId="10" applyNumberFormat="1" applyFont="1" applyFill="1" applyBorder="1" applyAlignment="1">
      <alignment horizontal="right" vertical="center"/>
    </xf>
    <xf numFmtId="10" fontId="9" fillId="0" borderId="16" xfId="10" applyNumberFormat="1" applyFont="1" applyBorder="1" applyAlignment="1">
      <alignment horizontal="right" vertical="center"/>
    </xf>
    <xf numFmtId="0" fontId="63" fillId="4" borderId="9" xfId="1" applyFont="1" applyFill="1" applyBorder="1" applyAlignment="1">
      <alignment vertical="center" wrapText="1"/>
    </xf>
    <xf numFmtId="3" fontId="2" fillId="4" borderId="20" xfId="10" applyNumberFormat="1" applyFont="1" applyFill="1" applyBorder="1" applyAlignment="1">
      <alignment horizontal="right" vertical="center"/>
    </xf>
    <xf numFmtId="10" fontId="2" fillId="4" borderId="27" xfId="10" applyNumberFormat="1" applyFont="1" applyFill="1" applyBorder="1" applyAlignment="1">
      <alignment horizontal="right" vertical="center"/>
    </xf>
    <xf numFmtId="3" fontId="2" fillId="4" borderId="25" xfId="10" applyNumberFormat="1" applyFont="1" applyFill="1" applyBorder="1" applyAlignment="1">
      <alignment horizontal="right" vertical="center"/>
    </xf>
    <xf numFmtId="0" fontId="63" fillId="0" borderId="9" xfId="1" applyFont="1" applyBorder="1" applyAlignment="1">
      <alignment vertical="center" wrapText="1"/>
    </xf>
    <xf numFmtId="10" fontId="2" fillId="4" borderId="16" xfId="10" applyNumberFormat="1" applyFont="1" applyFill="1" applyBorder="1" applyAlignment="1">
      <alignment horizontal="right" vertical="center"/>
    </xf>
    <xf numFmtId="0" fontId="63" fillId="4" borderId="13" xfId="1" applyFont="1" applyFill="1" applyBorder="1" applyAlignment="1">
      <alignment vertical="center" wrapText="1"/>
    </xf>
    <xf numFmtId="0" fontId="43" fillId="4" borderId="1" xfId="1" applyFont="1" applyFill="1" applyBorder="1" applyAlignment="1">
      <alignment vertical="center" wrapText="1"/>
    </xf>
    <xf numFmtId="3" fontId="2" fillId="4" borderId="1" xfId="10" applyNumberFormat="1" applyFont="1" applyFill="1" applyBorder="1" applyAlignment="1">
      <alignment horizontal="right" vertical="center"/>
    </xf>
    <xf numFmtId="10" fontId="2" fillId="4" borderId="12" xfId="10" applyNumberFormat="1" applyFont="1" applyFill="1" applyBorder="1" applyAlignment="1">
      <alignment horizontal="right" vertical="center"/>
    </xf>
    <xf numFmtId="0" fontId="63" fillId="4" borderId="3" xfId="1" applyFont="1" applyFill="1" applyBorder="1" applyAlignment="1">
      <alignment vertical="center" wrapText="1"/>
    </xf>
    <xf numFmtId="0" fontId="43" fillId="4" borderId="33" xfId="1" applyFont="1" applyFill="1" applyBorder="1" applyAlignment="1">
      <alignment horizontal="left" vertical="center" wrapText="1"/>
    </xf>
    <xf numFmtId="10" fontId="2" fillId="4" borderId="30" xfId="10" applyNumberFormat="1" applyFont="1" applyFill="1" applyBorder="1" applyAlignment="1">
      <alignment horizontal="right" vertical="center"/>
    </xf>
    <xf numFmtId="0" fontId="43" fillId="4" borderId="35" xfId="1" applyFont="1" applyFill="1" applyBorder="1" applyAlignment="1">
      <alignment horizontal="left" vertical="center" wrapText="1"/>
    </xf>
    <xf numFmtId="3" fontId="2" fillId="4" borderId="35" xfId="10" applyNumberFormat="1" applyFont="1" applyFill="1" applyBorder="1" applyAlignment="1">
      <alignment horizontal="right" vertical="center"/>
    </xf>
    <xf numFmtId="0" fontId="43" fillId="4" borderId="0" xfId="1" applyFont="1" applyFill="1" applyAlignment="1">
      <alignment vertical="center" wrapText="1"/>
    </xf>
    <xf numFmtId="3" fontId="2" fillId="4" borderId="0" xfId="10" applyNumberFormat="1" applyFont="1" applyFill="1" applyAlignment="1">
      <alignment horizontal="right" vertical="center"/>
    </xf>
    <xf numFmtId="3" fontId="2" fillId="4" borderId="9" xfId="10" applyNumberFormat="1" applyFont="1" applyFill="1" applyBorder="1" applyAlignment="1">
      <alignment horizontal="right" vertical="center"/>
    </xf>
    <xf numFmtId="0" fontId="43" fillId="4" borderId="19" xfId="1" quotePrefix="1" applyFont="1" applyFill="1" applyBorder="1" applyAlignment="1">
      <alignment horizontal="left" vertical="center" wrapText="1"/>
    </xf>
    <xf numFmtId="10" fontId="2" fillId="4" borderId="19" xfId="10" applyNumberFormat="1" applyFont="1" applyFill="1" applyBorder="1" applyAlignment="1">
      <alignment horizontal="right" vertical="center"/>
    </xf>
    <xf numFmtId="0" fontId="41" fillId="4" borderId="15" xfId="1" applyFont="1" applyFill="1" applyBorder="1" applyAlignment="1">
      <alignment vertical="center" wrapText="1"/>
    </xf>
    <xf numFmtId="49" fontId="43" fillId="4" borderId="21" xfId="1" applyNumberFormat="1" applyFont="1" applyFill="1" applyBorder="1" applyAlignment="1">
      <alignment horizontal="center" vertical="center" wrapText="1"/>
    </xf>
    <xf numFmtId="49" fontId="41" fillId="7" borderId="21" xfId="1" applyNumberFormat="1" applyFont="1" applyFill="1" applyBorder="1" applyAlignment="1">
      <alignment horizontal="center" vertical="center" wrapText="1"/>
    </xf>
    <xf numFmtId="4" fontId="9" fillId="7" borderId="20" xfId="10" applyNumberFormat="1" applyFont="1" applyFill="1" applyBorder="1" applyAlignment="1">
      <alignment horizontal="right" vertical="center"/>
    </xf>
    <xf numFmtId="0" fontId="41" fillId="0" borderId="13" xfId="1" applyFont="1" applyBorder="1" applyAlignment="1">
      <alignment horizontal="left" vertical="center" wrapText="1"/>
    </xf>
    <xf numFmtId="0" fontId="43" fillId="0" borderId="12" xfId="1" applyFont="1" applyBorder="1" applyAlignment="1">
      <alignment horizontal="left" vertical="center" wrapText="1"/>
    </xf>
    <xf numFmtId="49" fontId="43" fillId="4" borderId="13" xfId="1" applyNumberFormat="1" applyFont="1" applyFill="1" applyBorder="1" applyAlignment="1">
      <alignment horizontal="center" vertical="center" wrapText="1"/>
    </xf>
    <xf numFmtId="0" fontId="41" fillId="4" borderId="15" xfId="1" applyFont="1" applyFill="1" applyBorder="1" applyAlignment="1">
      <alignment horizontal="center" vertical="center" wrapText="1"/>
    </xf>
    <xf numFmtId="0" fontId="43" fillId="4" borderId="21" xfId="10" applyFont="1" applyFill="1" applyBorder="1" applyAlignment="1">
      <alignment vertical="center" wrapText="1"/>
    </xf>
    <xf numFmtId="49" fontId="41" fillId="7" borderId="32" xfId="1" applyNumberFormat="1" applyFont="1" applyFill="1" applyBorder="1" applyAlignment="1">
      <alignment horizontal="center" vertical="center" wrapText="1"/>
    </xf>
    <xf numFmtId="0" fontId="61" fillId="3" borderId="12" xfId="1" applyFont="1" applyFill="1" applyBorder="1" applyAlignment="1">
      <alignment horizontal="center" vertical="center" wrapText="1"/>
    </xf>
    <xf numFmtId="0" fontId="61" fillId="3" borderId="13" xfId="1" applyFont="1" applyFill="1" applyBorder="1" applyAlignment="1">
      <alignment vertical="center" wrapText="1"/>
    </xf>
    <xf numFmtId="0" fontId="61" fillId="3" borderId="11" xfId="1" applyFont="1" applyFill="1" applyBorder="1" applyAlignment="1">
      <alignment vertical="center" wrapText="1"/>
    </xf>
    <xf numFmtId="0" fontId="41" fillId="7" borderId="33" xfId="1" applyFont="1" applyFill="1" applyBorder="1" applyAlignment="1">
      <alignment horizontal="left" vertical="center" wrapText="1"/>
    </xf>
    <xf numFmtId="10" fontId="9" fillId="0" borderId="21" xfId="10" applyNumberFormat="1" applyFont="1" applyBorder="1" applyAlignment="1">
      <alignment horizontal="right" vertical="center"/>
    </xf>
    <xf numFmtId="0" fontId="43" fillId="0" borderId="21" xfId="10" quotePrefix="1" applyFont="1" applyBorder="1" applyAlignment="1">
      <alignment vertical="center" wrapText="1"/>
    </xf>
    <xf numFmtId="0" fontId="43" fillId="0" borderId="15" xfId="10" quotePrefix="1" applyFont="1" applyBorder="1" applyAlignment="1">
      <alignment vertical="center" wrapText="1"/>
    </xf>
    <xf numFmtId="0" fontId="41" fillId="4" borderId="26" xfId="1" applyFont="1" applyFill="1" applyBorder="1" applyAlignment="1">
      <alignment horizontal="left" vertical="center" wrapText="1"/>
    </xf>
    <xf numFmtId="0" fontId="43" fillId="4" borderId="22" xfId="1" quotePrefix="1" applyFont="1" applyFill="1" applyBorder="1" applyAlignment="1">
      <alignment horizontal="left" vertical="center" wrapText="1"/>
    </xf>
    <xf numFmtId="49" fontId="43" fillId="4" borderId="32" xfId="1" applyNumberFormat="1" applyFont="1" applyFill="1" applyBorder="1" applyAlignment="1">
      <alignment horizontal="center" vertical="center" wrapText="1"/>
    </xf>
    <xf numFmtId="10" fontId="2" fillId="4" borderId="26" xfId="10" applyNumberFormat="1" applyFont="1" applyFill="1" applyBorder="1" applyAlignment="1">
      <alignment horizontal="right" vertical="center"/>
    </xf>
    <xf numFmtId="0" fontId="81" fillId="5" borderId="7" xfId="1" applyFont="1" applyFill="1" applyBorder="1" applyAlignment="1">
      <alignment horizontal="center" vertical="center" wrapText="1"/>
    </xf>
    <xf numFmtId="0" fontId="81" fillId="5" borderId="8" xfId="1" applyFont="1" applyFill="1" applyBorder="1" applyAlignment="1">
      <alignment vertical="center" wrapText="1"/>
    </xf>
    <xf numFmtId="0" fontId="81" fillId="5" borderId="2" xfId="1" applyFont="1" applyFill="1" applyBorder="1" applyAlignment="1">
      <alignment vertical="center" wrapText="1"/>
    </xf>
    <xf numFmtId="3" fontId="24" fillId="5" borderId="8" xfId="10" applyNumberFormat="1" applyFont="1" applyFill="1" applyBorder="1" applyAlignment="1">
      <alignment horizontal="right" vertical="center"/>
    </xf>
    <xf numFmtId="4" fontId="24" fillId="5" borderId="8" xfId="10" applyNumberFormat="1" applyFont="1" applyFill="1" applyBorder="1" applyAlignment="1">
      <alignment horizontal="right" vertical="center"/>
    </xf>
    <xf numFmtId="10" fontId="24" fillId="5" borderId="8" xfId="10" applyNumberFormat="1" applyFont="1" applyFill="1" applyBorder="1" applyAlignment="1">
      <alignment horizontal="right" vertical="center"/>
    </xf>
    <xf numFmtId="0" fontId="60" fillId="4" borderId="3" xfId="1" applyFont="1" applyFill="1" applyBorder="1" applyAlignment="1">
      <alignment horizontal="center" vertical="center" wrapText="1"/>
    </xf>
    <xf numFmtId="0" fontId="68" fillId="3" borderId="8" xfId="1" applyFont="1" applyFill="1" applyBorder="1" applyAlignment="1">
      <alignment horizontal="center" vertical="center" wrapText="1"/>
    </xf>
    <xf numFmtId="0" fontId="68" fillId="3" borderId="8" xfId="1" applyFont="1" applyFill="1" applyBorder="1" applyAlignment="1">
      <alignment vertical="center" wrapText="1"/>
    </xf>
    <xf numFmtId="0" fontId="68" fillId="3" borderId="2" xfId="1" applyFont="1" applyFill="1" applyBorder="1" applyAlignment="1">
      <alignment vertical="center" wrapText="1"/>
    </xf>
    <xf numFmtId="0" fontId="60" fillId="4" borderId="9" xfId="1" applyFont="1" applyFill="1" applyBorder="1" applyAlignment="1">
      <alignment horizontal="center" vertical="center" wrapText="1"/>
    </xf>
    <xf numFmtId="0" fontId="69" fillId="7" borderId="24" xfId="1" applyFont="1" applyFill="1" applyBorder="1" applyAlignment="1">
      <alignment horizontal="left" vertical="center" wrapText="1"/>
    </xf>
    <xf numFmtId="0" fontId="67" fillId="4" borderId="19" xfId="1" applyFont="1" applyFill="1" applyBorder="1" applyAlignment="1">
      <alignment horizontal="left" vertical="center" wrapText="1"/>
    </xf>
    <xf numFmtId="49" fontId="67" fillId="4" borderId="70" xfId="1" applyNumberFormat="1" applyFont="1" applyFill="1" applyBorder="1" applyAlignment="1">
      <alignment horizontal="center" vertical="center" wrapText="1"/>
    </xf>
    <xf numFmtId="0" fontId="60" fillId="4" borderId="9" xfId="1" applyFont="1" applyFill="1" applyBorder="1" applyAlignment="1">
      <alignment vertical="center" wrapText="1"/>
    </xf>
    <xf numFmtId="0" fontId="67" fillId="4" borderId="27" xfId="1" applyFont="1" applyFill="1" applyBorder="1" applyAlignment="1">
      <alignment horizontal="left" vertical="center" wrapText="1"/>
    </xf>
    <xf numFmtId="0" fontId="67" fillId="4" borderId="25" xfId="1" applyFont="1" applyFill="1" applyBorder="1" applyAlignment="1">
      <alignment horizontal="center" vertical="center" wrapText="1"/>
    </xf>
    <xf numFmtId="0" fontId="69" fillId="7" borderId="14" xfId="1" applyFont="1" applyFill="1" applyBorder="1" applyAlignment="1">
      <alignment horizontal="left" vertical="center" wrapText="1"/>
    </xf>
    <xf numFmtId="3" fontId="36" fillId="7" borderId="9" xfId="10" applyNumberFormat="1" applyFont="1" applyFill="1" applyBorder="1" applyAlignment="1">
      <alignment horizontal="right" vertical="center"/>
    </xf>
    <xf numFmtId="4" fontId="36" fillId="7" borderId="9" xfId="10" applyNumberFormat="1" applyFont="1" applyFill="1" applyBorder="1" applyAlignment="1">
      <alignment horizontal="right" vertical="center"/>
    </xf>
    <xf numFmtId="10" fontId="36" fillId="7" borderId="9" xfId="10" applyNumberFormat="1" applyFont="1" applyFill="1" applyBorder="1" applyAlignment="1">
      <alignment horizontal="right" vertical="center"/>
    </xf>
    <xf numFmtId="0" fontId="75" fillId="4" borderId="9" xfId="1" applyFont="1" applyFill="1" applyBorder="1" applyAlignment="1">
      <alignment vertical="center" wrapText="1"/>
    </xf>
    <xf numFmtId="0" fontId="67" fillId="4" borderId="27" xfId="10" applyFont="1" applyFill="1" applyBorder="1" applyAlignment="1">
      <alignment horizontal="left" vertical="center" wrapText="1"/>
    </xf>
    <xf numFmtId="0" fontId="69" fillId="7" borderId="25" xfId="1" applyFont="1" applyFill="1" applyBorder="1" applyAlignment="1">
      <alignment horizontal="left" vertical="center" wrapText="1"/>
    </xf>
    <xf numFmtId="0" fontId="69" fillId="4" borderId="26" xfId="1" applyFont="1" applyFill="1" applyBorder="1" applyAlignment="1">
      <alignment vertical="center" wrapText="1"/>
    </xf>
    <xf numFmtId="0" fontId="67" fillId="4" borderId="26" xfId="10" applyFont="1" applyFill="1" applyBorder="1" applyAlignment="1">
      <alignment horizontal="left" vertical="center" wrapText="1"/>
    </xf>
    <xf numFmtId="0" fontId="67" fillId="4" borderId="32" xfId="1" applyFont="1" applyFill="1" applyBorder="1" applyAlignment="1">
      <alignment horizontal="center" vertical="center" wrapText="1"/>
    </xf>
    <xf numFmtId="3" fontId="21" fillId="4" borderId="26" xfId="10" applyNumberFormat="1" applyFont="1" applyFill="1" applyBorder="1" applyAlignment="1">
      <alignment horizontal="right" vertical="center"/>
    </xf>
    <xf numFmtId="4" fontId="21" fillId="4" borderId="26" xfId="10" applyNumberFormat="1" applyFont="1" applyFill="1" applyBorder="1" applyAlignment="1">
      <alignment horizontal="right" vertical="center"/>
    </xf>
    <xf numFmtId="10" fontId="21" fillId="4" borderId="26" xfId="10" applyNumberFormat="1" applyFont="1" applyFill="1" applyBorder="1" applyAlignment="1">
      <alignment horizontal="right" vertical="center"/>
    </xf>
    <xf numFmtId="0" fontId="69" fillId="4" borderId="18" xfId="1" applyFont="1" applyFill="1" applyBorder="1" applyAlignment="1">
      <alignment vertical="center" wrapText="1"/>
    </xf>
    <xf numFmtId="0" fontId="67" fillId="4" borderId="70" xfId="1" applyFont="1" applyFill="1" applyBorder="1" applyAlignment="1">
      <alignment horizontal="center" vertical="center" wrapText="1"/>
    </xf>
    <xf numFmtId="0" fontId="82" fillId="4" borderId="9" xfId="1" applyFont="1" applyFill="1" applyBorder="1" applyAlignment="1">
      <alignment vertical="center" wrapText="1"/>
    </xf>
    <xf numFmtId="0" fontId="67" fillId="4" borderId="21" xfId="1" applyFont="1" applyFill="1" applyBorder="1" applyAlignment="1">
      <alignment horizontal="left" vertical="center" wrapText="1"/>
    </xf>
    <xf numFmtId="0" fontId="67" fillId="4" borderId="13" xfId="1" applyFont="1" applyFill="1" applyBorder="1" applyAlignment="1">
      <alignment horizontal="left" vertical="center" wrapText="1"/>
    </xf>
    <xf numFmtId="0" fontId="62" fillId="3" borderId="13" xfId="1" applyFont="1" applyFill="1" applyBorder="1" applyAlignment="1">
      <alignment horizontal="center" vertical="center" wrapText="1"/>
    </xf>
    <xf numFmtId="0" fontId="63" fillId="7" borderId="24" xfId="1" applyFont="1" applyFill="1" applyBorder="1" applyAlignment="1">
      <alignment horizontal="left" vertical="center" wrapText="1"/>
    </xf>
    <xf numFmtId="0" fontId="63" fillId="7" borderId="25" xfId="1" applyFont="1" applyFill="1" applyBorder="1" applyAlignment="1">
      <alignment horizontal="left" vertical="center" wrapText="1"/>
    </xf>
    <xf numFmtId="3" fontId="27" fillId="7" borderId="21" xfId="10" applyNumberFormat="1" applyFont="1" applyFill="1" applyBorder="1" applyAlignment="1">
      <alignment horizontal="right" vertical="center"/>
    </xf>
    <xf numFmtId="4" fontId="27" fillId="7" borderId="21" xfId="10" applyNumberFormat="1" applyFont="1" applyFill="1" applyBorder="1" applyAlignment="1">
      <alignment horizontal="right" vertical="center"/>
    </xf>
    <xf numFmtId="0" fontId="63" fillId="0" borderId="13" xfId="1" applyFont="1" applyBorder="1" applyAlignment="1">
      <alignment horizontal="left" vertical="center" wrapText="1"/>
    </xf>
    <xf numFmtId="0" fontId="55" fillId="0" borderId="12" xfId="1" applyFont="1" applyBorder="1" applyAlignment="1">
      <alignment horizontal="left" vertical="center" wrapText="1"/>
    </xf>
    <xf numFmtId="0" fontId="55" fillId="0" borderId="11" xfId="1" applyFont="1" applyBorder="1" applyAlignment="1">
      <alignment horizontal="center" vertical="center" wrapText="1"/>
    </xf>
    <xf numFmtId="0" fontId="62" fillId="3" borderId="13" xfId="1" applyFont="1" applyFill="1" applyBorder="1" applyAlignment="1">
      <alignment vertical="center" wrapText="1"/>
    </xf>
    <xf numFmtId="0" fontId="73" fillId="4" borderId="16" xfId="1" applyFont="1" applyFill="1" applyBorder="1" applyAlignment="1">
      <alignment vertical="center" wrapText="1"/>
    </xf>
    <xf numFmtId="49" fontId="73" fillId="4" borderId="25" xfId="1" applyNumberFormat="1" applyFont="1" applyFill="1" applyBorder="1" applyAlignment="1">
      <alignment horizontal="center" vertical="center" wrapText="1"/>
    </xf>
    <xf numFmtId="0" fontId="73" fillId="4" borderId="10" xfId="1" applyFont="1" applyFill="1" applyBorder="1" applyAlignment="1">
      <alignment vertical="center" wrapText="1"/>
    </xf>
    <xf numFmtId="49" fontId="73" fillId="4" borderId="70" xfId="1" applyNumberFormat="1" applyFont="1" applyFill="1" applyBorder="1" applyAlignment="1">
      <alignment horizontal="center" vertical="center" wrapText="1"/>
    </xf>
    <xf numFmtId="0" fontId="75" fillId="4" borderId="13" xfId="1" applyFont="1" applyFill="1" applyBorder="1" applyAlignment="1">
      <alignment vertical="center" wrapText="1"/>
    </xf>
    <xf numFmtId="0" fontId="63" fillId="7" borderId="32" xfId="1" applyFont="1" applyFill="1" applyBorder="1" applyAlignment="1">
      <alignment horizontal="left" vertical="center" wrapText="1"/>
    </xf>
    <xf numFmtId="0" fontId="75" fillId="4" borderId="3" xfId="1" applyFont="1" applyFill="1" applyBorder="1" applyAlignment="1">
      <alignment vertical="center" wrapText="1"/>
    </xf>
    <xf numFmtId="0" fontId="64" fillId="3" borderId="8" xfId="1" applyFont="1" applyFill="1" applyBorder="1" applyAlignment="1">
      <alignment horizontal="center" vertical="center" wrapText="1"/>
    </xf>
    <xf numFmtId="0" fontId="64" fillId="3" borderId="8" xfId="1" applyFont="1" applyFill="1" applyBorder="1" applyAlignment="1">
      <alignment vertical="center" wrapText="1"/>
    </xf>
    <xf numFmtId="0" fontId="61" fillId="3" borderId="13" xfId="1" applyFont="1" applyFill="1" applyBorder="1" applyAlignment="1">
      <alignment horizontal="center" vertical="center" wrapText="1"/>
    </xf>
    <xf numFmtId="0" fontId="41" fillId="7" borderId="24" xfId="1" applyFont="1" applyFill="1" applyBorder="1" applyAlignment="1">
      <alignment horizontal="left" vertical="center" wrapText="1"/>
    </xf>
    <xf numFmtId="0" fontId="61" fillId="4" borderId="15" xfId="1" applyFont="1" applyFill="1" applyBorder="1" applyAlignment="1">
      <alignment horizontal="center" vertical="center" wrapText="1"/>
    </xf>
    <xf numFmtId="0" fontId="43" fillId="4" borderId="16" xfId="1" applyFont="1" applyFill="1" applyBorder="1" applyAlignment="1">
      <alignment vertical="center" wrapText="1"/>
    </xf>
    <xf numFmtId="0" fontId="82" fillId="4" borderId="3" xfId="1" applyFont="1" applyFill="1" applyBorder="1" applyAlignment="1">
      <alignment vertical="center" wrapText="1"/>
    </xf>
    <xf numFmtId="0" fontId="68" fillId="4" borderId="15" xfId="1" applyFont="1" applyFill="1" applyBorder="1" applyAlignment="1">
      <alignment horizontal="center" vertical="center" wrapText="1"/>
    </xf>
    <xf numFmtId="0" fontId="67" fillId="4" borderId="16" xfId="1" applyFont="1" applyFill="1" applyBorder="1" applyAlignment="1">
      <alignment vertical="center" wrapText="1"/>
    </xf>
    <xf numFmtId="0" fontId="69" fillId="7" borderId="32" xfId="1" applyFont="1" applyFill="1" applyBorder="1" applyAlignment="1">
      <alignment horizontal="left" vertical="center" wrapText="1"/>
    </xf>
    <xf numFmtId="0" fontId="68" fillId="3" borderId="7" xfId="1" applyFont="1" applyFill="1" applyBorder="1" applyAlignment="1">
      <alignment horizontal="center" vertical="center" wrapText="1"/>
    </xf>
    <xf numFmtId="0" fontId="69" fillId="7" borderId="23" xfId="1" applyFont="1" applyFill="1" applyBorder="1" applyAlignment="1">
      <alignment horizontal="left" vertical="center" wrapText="1"/>
    </xf>
    <xf numFmtId="4" fontId="36" fillId="7" borderId="6" xfId="10" applyNumberFormat="1" applyFont="1" applyFill="1" applyBorder="1" applyAlignment="1">
      <alignment horizontal="right" vertical="center"/>
    </xf>
    <xf numFmtId="0" fontId="67" fillId="0" borderId="42" xfId="1" applyFont="1" applyBorder="1" applyAlignment="1">
      <alignment vertical="center" wrapText="1"/>
    </xf>
    <xf numFmtId="0" fontId="71" fillId="4" borderId="25" xfId="1" quotePrefix="1" applyFont="1" applyFill="1" applyBorder="1" applyAlignment="1">
      <alignment horizontal="center" vertical="center" wrapText="1"/>
    </xf>
    <xf numFmtId="4" fontId="21" fillId="0" borderId="25" xfId="10" applyNumberFormat="1" applyFont="1" applyBorder="1" applyAlignment="1">
      <alignment horizontal="right" vertical="center"/>
    </xf>
    <xf numFmtId="49" fontId="71" fillId="4" borderId="25" xfId="1" applyNumberFormat="1" applyFont="1" applyFill="1" applyBorder="1" applyAlignment="1">
      <alignment horizontal="center" vertical="center" wrapText="1"/>
    </xf>
    <xf numFmtId="0" fontId="71" fillId="0" borderId="42" xfId="1" applyFont="1" applyBorder="1" applyAlignment="1">
      <alignment vertical="center" wrapText="1"/>
    </xf>
    <xf numFmtId="0" fontId="71" fillId="4" borderId="25" xfId="1" applyFont="1" applyFill="1" applyBorder="1" applyAlignment="1">
      <alignment horizontal="center" vertical="center" wrapText="1"/>
    </xf>
    <xf numFmtId="0" fontId="69" fillId="7" borderId="21" xfId="1" applyFont="1" applyFill="1" applyBorder="1" applyAlignment="1">
      <alignment horizontal="left" vertical="center" wrapText="1"/>
    </xf>
    <xf numFmtId="4" fontId="36" fillId="7" borderId="25" xfId="10" applyNumberFormat="1" applyFont="1" applyFill="1" applyBorder="1" applyAlignment="1">
      <alignment horizontal="right" vertical="center"/>
    </xf>
    <xf numFmtId="0" fontId="82" fillId="4" borderId="13" xfId="1" applyFont="1" applyFill="1" applyBorder="1" applyAlignment="1">
      <alignment vertical="center" wrapText="1"/>
    </xf>
    <xf numFmtId="0" fontId="68" fillId="4" borderId="1" xfId="1" applyFont="1" applyFill="1" applyBorder="1" applyAlignment="1">
      <alignment horizontal="center" vertical="center" wrapText="1"/>
    </xf>
    <xf numFmtId="0" fontId="67" fillId="0" borderId="59" xfId="1" applyFont="1" applyBorder="1" applyAlignment="1">
      <alignment vertical="center" wrapText="1"/>
    </xf>
    <xf numFmtId="0" fontId="67" fillId="4" borderId="11" xfId="1" applyFont="1" applyFill="1" applyBorder="1" applyAlignment="1">
      <alignment horizontal="center" vertical="center" wrapText="1"/>
    </xf>
    <xf numFmtId="4" fontId="21" fillId="0" borderId="11" xfId="10" applyNumberFormat="1" applyFont="1" applyBorder="1" applyAlignment="1">
      <alignment horizontal="right" vertical="center"/>
    </xf>
    <xf numFmtId="0" fontId="74" fillId="5" borderId="2" xfId="1" applyFont="1" applyFill="1" applyBorder="1" applyAlignment="1">
      <alignment vertical="center" wrapText="1"/>
    </xf>
    <xf numFmtId="0" fontId="76" fillId="3" borderId="2" xfId="1" applyFont="1" applyFill="1" applyBorder="1" applyAlignment="1">
      <alignment vertical="center" wrapText="1"/>
    </xf>
    <xf numFmtId="0" fontId="77" fillId="7" borderId="14" xfId="1" applyFont="1" applyFill="1" applyBorder="1" applyAlignment="1">
      <alignment horizontal="left" vertical="center" wrapText="1"/>
    </xf>
    <xf numFmtId="0" fontId="74" fillId="4" borderId="39" xfId="1" applyFont="1" applyFill="1" applyBorder="1" applyAlignment="1">
      <alignment vertical="center" wrapText="1"/>
    </xf>
    <xf numFmtId="0" fontId="59" fillId="0" borderId="42" xfId="1" applyFont="1" applyBorder="1" applyAlignment="1">
      <alignment vertical="center" wrapText="1"/>
    </xf>
    <xf numFmtId="0" fontId="59" fillId="4" borderId="21" xfId="1" applyFont="1" applyFill="1" applyBorder="1" applyAlignment="1">
      <alignment horizontal="center" vertical="center" wrapText="1"/>
    </xf>
    <xf numFmtId="0" fontId="77" fillId="7" borderId="26" xfId="1" applyFont="1" applyFill="1" applyBorder="1" applyAlignment="1">
      <alignment horizontal="left" vertical="center" wrapText="1"/>
    </xf>
    <xf numFmtId="0" fontId="76" fillId="3" borderId="8" xfId="1" applyFont="1" applyFill="1" applyBorder="1" applyAlignment="1">
      <alignment horizontal="center" vertical="center" wrapText="1"/>
    </xf>
    <xf numFmtId="0" fontId="76" fillId="3" borderId="8" xfId="1" applyFont="1" applyFill="1" applyBorder="1" applyAlignment="1">
      <alignment vertical="center" wrapText="1"/>
    </xf>
    <xf numFmtId="0" fontId="63" fillId="7" borderId="14" xfId="1" applyFont="1" applyFill="1" applyBorder="1" applyAlignment="1">
      <alignment horizontal="left" vertical="center" wrapText="1"/>
    </xf>
    <xf numFmtId="49" fontId="43" fillId="4" borderId="70" xfId="1" applyNumberFormat="1" applyFont="1" applyFill="1" applyBorder="1" applyAlignment="1">
      <alignment horizontal="center" vertical="center" wrapText="1"/>
    </xf>
    <xf numFmtId="0" fontId="43" fillId="0" borderId="27" xfId="1" applyFont="1" applyBorder="1" applyAlignment="1">
      <alignment horizontal="left" vertical="center" wrapText="1"/>
    </xf>
    <xf numFmtId="0" fontId="43" fillId="0" borderId="19" xfId="1" applyFont="1" applyBorder="1" applyAlignment="1">
      <alignment horizontal="left" vertical="center" wrapText="1"/>
    </xf>
    <xf numFmtId="49" fontId="43" fillId="4" borderId="14" xfId="1" applyNumberFormat="1" applyFont="1" applyFill="1" applyBorder="1" applyAlignment="1">
      <alignment horizontal="center" vertical="center" wrapText="1"/>
    </xf>
    <xf numFmtId="3" fontId="9" fillId="7" borderId="1" xfId="10" applyNumberFormat="1" applyFont="1" applyFill="1" applyBorder="1" applyAlignment="1">
      <alignment horizontal="right" vertical="center"/>
    </xf>
    <xf numFmtId="0" fontId="64" fillId="3" borderId="2" xfId="1" applyFont="1" applyFill="1" applyBorder="1" applyAlignment="1">
      <alignment vertical="center" wrapText="1"/>
    </xf>
    <xf numFmtId="0" fontId="63" fillId="4" borderId="18" xfId="1" applyFont="1" applyFill="1" applyBorder="1" applyAlignment="1">
      <alignment vertical="center" wrapText="1"/>
    </xf>
    <xf numFmtId="0" fontId="43" fillId="0" borderId="70" xfId="1" applyFont="1" applyBorder="1" applyAlignment="1">
      <alignment horizontal="left" vertical="center" wrapText="1"/>
    </xf>
    <xf numFmtId="0" fontId="43" fillId="0" borderId="11" xfId="1" applyFont="1" applyBorder="1" applyAlignment="1">
      <alignment horizontal="left" vertical="center" wrapText="1"/>
    </xf>
    <xf numFmtId="0" fontId="43" fillId="0" borderId="34" xfId="1" applyFont="1" applyBorder="1" applyAlignment="1">
      <alignment horizontal="left" vertical="center" wrapText="1"/>
    </xf>
    <xf numFmtId="0" fontId="43" fillId="0" borderId="0" xfId="1" applyFont="1" applyAlignment="1">
      <alignment horizontal="left" vertical="center" wrapText="1"/>
    </xf>
    <xf numFmtId="0" fontId="43" fillId="0" borderId="18" xfId="1" applyFont="1" applyBorder="1" applyAlignment="1">
      <alignment horizontal="left" vertical="center" wrapText="1"/>
    </xf>
    <xf numFmtId="0" fontId="43" fillId="0" borderId="25" xfId="1" applyFont="1" applyBorder="1" applyAlignment="1">
      <alignment horizontal="left" vertical="center" wrapText="1"/>
    </xf>
    <xf numFmtId="0" fontId="43" fillId="0" borderId="35" xfId="1" applyFont="1" applyBorder="1" applyAlignment="1">
      <alignment horizontal="left" vertical="center" wrapText="1"/>
    </xf>
    <xf numFmtId="0" fontId="43" fillId="4" borderId="25" xfId="1" quotePrefix="1" applyFont="1" applyFill="1" applyBorder="1" applyAlignment="1">
      <alignment horizontal="left" vertical="center" wrapText="1"/>
    </xf>
    <xf numFmtId="49" fontId="67" fillId="4" borderId="21" xfId="1" applyNumberFormat="1" applyFont="1" applyFill="1" applyBorder="1" applyAlignment="1">
      <alignment horizontal="center" vertical="center" wrapText="1"/>
    </xf>
    <xf numFmtId="3" fontId="2" fillId="0" borderId="19" xfId="10" applyNumberFormat="1" applyFont="1" applyBorder="1" applyAlignment="1">
      <alignment horizontal="right" vertical="center"/>
    </xf>
    <xf numFmtId="0" fontId="63" fillId="4" borderId="15" xfId="1" applyFont="1" applyFill="1" applyBorder="1" applyAlignment="1">
      <alignment vertical="center" wrapText="1"/>
    </xf>
    <xf numFmtId="49" fontId="43" fillId="4" borderId="23" xfId="1" applyNumberFormat="1" applyFont="1" applyFill="1" applyBorder="1" applyAlignment="1">
      <alignment horizontal="center" vertical="center" wrapText="1"/>
    </xf>
    <xf numFmtId="0" fontId="63" fillId="7" borderId="25" xfId="1" applyFont="1" applyFill="1" applyBorder="1" applyAlignment="1">
      <alignment horizontal="center" vertical="center" wrapText="1"/>
    </xf>
    <xf numFmtId="0" fontId="55" fillId="4" borderId="16" xfId="1" quotePrefix="1" applyFont="1" applyFill="1" applyBorder="1" applyAlignment="1">
      <alignment horizontal="left" vertical="center" wrapText="1"/>
    </xf>
    <xf numFmtId="0" fontId="55" fillId="4" borderId="23" xfId="1" applyFont="1" applyFill="1" applyBorder="1" applyAlignment="1">
      <alignment horizontal="center" vertical="center" wrapText="1"/>
    </xf>
    <xf numFmtId="0" fontId="55" fillId="4" borderId="20" xfId="1" quotePrefix="1" applyFont="1" applyFill="1" applyBorder="1" applyAlignment="1">
      <alignment horizontal="left" vertical="center" wrapText="1"/>
    </xf>
    <xf numFmtId="0" fontId="55" fillId="4" borderId="21" xfId="1" applyFont="1" applyFill="1" applyBorder="1" applyAlignment="1">
      <alignment horizontal="center" vertical="center" wrapText="1"/>
    </xf>
    <xf numFmtId="3" fontId="2" fillId="0" borderId="27" xfId="10" applyNumberFormat="1" applyFont="1" applyBorder="1" applyAlignment="1">
      <alignment horizontal="right" vertical="center"/>
    </xf>
    <xf numFmtId="4" fontId="2" fillId="0" borderId="20" xfId="10" applyNumberFormat="1" applyFont="1" applyBorder="1" applyAlignment="1">
      <alignment horizontal="right" vertical="center"/>
    </xf>
    <xf numFmtId="0" fontId="43" fillId="0" borderId="12" xfId="1" quotePrefix="1" applyFont="1" applyBorder="1" applyAlignment="1">
      <alignment horizontal="left" vertical="center" wrapText="1"/>
    </xf>
    <xf numFmtId="0" fontId="43" fillId="4" borderId="11" xfId="1" applyFont="1" applyFill="1" applyBorder="1" applyAlignment="1">
      <alignment horizontal="center" vertical="center" wrapText="1"/>
    </xf>
    <xf numFmtId="10" fontId="13" fillId="5" borderId="13" xfId="10" applyNumberFormat="1" applyFont="1" applyFill="1" applyBorder="1" applyAlignment="1">
      <alignment horizontal="right" vertical="center"/>
    </xf>
    <xf numFmtId="0" fontId="60" fillId="4" borderId="3" xfId="1" applyFont="1" applyFill="1" applyBorder="1" applyAlignment="1">
      <alignment vertical="center" wrapText="1"/>
    </xf>
    <xf numFmtId="0" fontId="43" fillId="0" borderId="20" xfId="1" quotePrefix="1" applyFont="1" applyBorder="1" applyAlignment="1">
      <alignment vertical="center" wrapText="1"/>
    </xf>
    <xf numFmtId="0" fontId="41" fillId="4" borderId="18" xfId="1" applyFont="1" applyFill="1" applyBorder="1" applyAlignment="1">
      <alignment horizontal="center" vertical="center" wrapText="1"/>
    </xf>
    <xf numFmtId="0" fontId="60" fillId="4" borderId="13" xfId="1" applyFont="1" applyFill="1" applyBorder="1" applyAlignment="1">
      <alignment vertical="center" wrapText="1"/>
    </xf>
    <xf numFmtId="0" fontId="43" fillId="0" borderId="20" xfId="1" applyFont="1" applyBorder="1" applyAlignment="1">
      <alignment horizontal="left" vertical="center" wrapText="1"/>
    </xf>
    <xf numFmtId="0" fontId="63" fillId="4" borderId="45" xfId="1" applyFont="1" applyFill="1" applyBorder="1" applyAlignment="1">
      <alignment vertical="center" wrapText="1"/>
    </xf>
    <xf numFmtId="0" fontId="55" fillId="0" borderId="20" xfId="1" applyFont="1" applyBorder="1" applyAlignment="1">
      <alignment horizontal="left" vertical="center" wrapText="1"/>
    </xf>
    <xf numFmtId="0" fontId="55" fillId="4" borderId="21" xfId="1" quotePrefix="1" applyFont="1" applyFill="1" applyBorder="1" applyAlignment="1">
      <alignment horizontal="center" vertical="center" wrapText="1"/>
    </xf>
    <xf numFmtId="0" fontId="43" fillId="0" borderId="42" xfId="11" applyFont="1" applyBorder="1" applyAlignment="1">
      <alignment vertical="center" wrapText="1"/>
    </xf>
    <xf numFmtId="0" fontId="43" fillId="0" borderId="42" xfId="11" applyFont="1" applyBorder="1" applyAlignment="1">
      <alignment horizontal="left" vertical="center" wrapText="1"/>
    </xf>
    <xf numFmtId="0" fontId="43" fillId="0" borderId="42" xfId="1" quotePrefix="1" applyFont="1" applyBorder="1" applyAlignment="1">
      <alignment vertical="center" wrapText="1"/>
    </xf>
    <xf numFmtId="0" fontId="43" fillId="0" borderId="46" xfId="1" quotePrefix="1" applyFont="1" applyBorder="1" applyAlignment="1">
      <alignment vertical="center" wrapText="1"/>
    </xf>
    <xf numFmtId="0" fontId="63" fillId="4" borderId="64" xfId="1" applyFont="1" applyFill="1" applyBorder="1" applyAlignment="1">
      <alignment vertical="center" wrapText="1"/>
    </xf>
    <xf numFmtId="0" fontId="43" fillId="0" borderId="59" xfId="1" quotePrefix="1" applyFont="1" applyBorder="1" applyAlignment="1">
      <alignment vertical="center" wrapText="1"/>
    </xf>
    <xf numFmtId="0" fontId="43" fillId="0" borderId="62" xfId="1" quotePrefix="1" applyFont="1" applyBorder="1" applyAlignment="1">
      <alignment vertical="center" wrapText="1"/>
    </xf>
    <xf numFmtId="0" fontId="63" fillId="4" borderId="36" xfId="1" applyFont="1" applyFill="1" applyBorder="1" applyAlignment="1">
      <alignment vertical="center" wrapText="1"/>
    </xf>
    <xf numFmtId="0" fontId="43" fillId="0" borderId="11" xfId="1" quotePrefix="1" applyFont="1" applyBorder="1" applyAlignment="1">
      <alignment horizontal="left" vertical="center" wrapText="1"/>
    </xf>
    <xf numFmtId="0" fontId="40" fillId="5" borderId="8" xfId="10" applyFont="1" applyFill="1" applyBorder="1" applyAlignment="1">
      <alignment horizontal="center"/>
    </xf>
    <xf numFmtId="3" fontId="13" fillId="5" borderId="9" xfId="10" applyNumberFormat="1" applyFont="1" applyFill="1" applyBorder="1" applyAlignment="1">
      <alignment horizontal="right" vertical="center"/>
    </xf>
    <xf numFmtId="4" fontId="13" fillId="5" borderId="9" xfId="10" applyNumberFormat="1" applyFont="1" applyFill="1" applyBorder="1" applyAlignment="1">
      <alignment horizontal="right" vertical="center"/>
    </xf>
    <xf numFmtId="10" fontId="13" fillId="5" borderId="9" xfId="10" applyNumberFormat="1" applyFont="1" applyFill="1" applyBorder="1" applyAlignment="1">
      <alignment horizontal="right" vertical="center"/>
    </xf>
    <xf numFmtId="0" fontId="40" fillId="3" borderId="2" xfId="1" applyFont="1" applyFill="1" applyBorder="1" applyAlignment="1">
      <alignment horizontal="center" vertical="center" wrapText="1"/>
    </xf>
    <xf numFmtId="0" fontId="40" fillId="3" borderId="2" xfId="1" applyFont="1" applyFill="1" applyBorder="1" applyAlignment="1">
      <alignment vertical="center" wrapText="1"/>
    </xf>
    <xf numFmtId="0" fontId="43" fillId="4" borderId="14" xfId="1" quotePrefix="1" applyFont="1" applyFill="1" applyBorder="1" applyAlignment="1">
      <alignment horizontal="left" vertical="center" wrapText="1"/>
    </xf>
    <xf numFmtId="0" fontId="43" fillId="4" borderId="14" xfId="1" applyFont="1" applyFill="1" applyBorder="1" applyAlignment="1">
      <alignment horizontal="center" vertical="center" wrapText="1"/>
    </xf>
    <xf numFmtId="0" fontId="40" fillId="0" borderId="9" xfId="1" applyFont="1" applyBorder="1" applyAlignment="1">
      <alignment vertical="center" wrapText="1"/>
    </xf>
    <xf numFmtId="0" fontId="75" fillId="3" borderId="2" xfId="1" applyFont="1" applyFill="1" applyBorder="1" applyAlignment="1">
      <alignment vertical="center" wrapText="1"/>
    </xf>
    <xf numFmtId="0" fontId="77" fillId="4" borderId="9" xfId="1" applyFont="1" applyFill="1" applyBorder="1" applyAlignment="1">
      <alignment horizontal="center" vertical="center" wrapText="1"/>
    </xf>
    <xf numFmtId="0" fontId="43" fillId="0" borderId="21" xfId="1" quotePrefix="1" applyFont="1" applyBorder="1" applyAlignment="1">
      <alignment horizontal="left" vertical="center" wrapText="1"/>
    </xf>
    <xf numFmtId="49" fontId="43" fillId="4" borderId="25" xfId="1" quotePrefix="1" applyNumberFormat="1" applyFont="1" applyFill="1" applyBorder="1" applyAlignment="1">
      <alignment horizontal="center" vertical="center" wrapText="1"/>
    </xf>
    <xf numFmtId="0" fontId="43" fillId="0" borderId="17" xfId="11" applyFont="1" applyBorder="1" applyAlignment="1">
      <alignment horizontal="left" vertical="center" wrapText="1"/>
    </xf>
    <xf numFmtId="0" fontId="74" fillId="3" borderId="2" xfId="1" applyFont="1" applyFill="1" applyBorder="1" applyAlignment="1">
      <alignment horizontal="center" vertical="center" wrapText="1"/>
    </xf>
    <xf numFmtId="0" fontId="74" fillId="3" borderId="2" xfId="1" applyFont="1" applyFill="1" applyBorder="1" applyAlignment="1">
      <alignment vertical="center" wrapText="1"/>
    </xf>
    <xf numFmtId="0" fontId="61" fillId="4" borderId="16" xfId="1" applyFont="1" applyFill="1" applyBorder="1" applyAlignment="1">
      <alignment horizontal="center" vertical="center" wrapText="1"/>
    </xf>
    <xf numFmtId="49" fontId="59" fillId="4" borderId="25" xfId="1" applyNumberFormat="1" applyFont="1" applyFill="1" applyBorder="1" applyAlignment="1">
      <alignment horizontal="center" vertical="center" wrapText="1"/>
    </xf>
    <xf numFmtId="0" fontId="40" fillId="3" borderId="11" xfId="1" applyFont="1" applyFill="1" applyBorder="1" applyAlignment="1">
      <alignment horizontal="center" vertical="center" wrapText="1"/>
    </xf>
    <xf numFmtId="0" fontId="40" fillId="3" borderId="13" xfId="1" applyFont="1" applyFill="1" applyBorder="1" applyAlignment="1">
      <alignment vertical="center" wrapText="1"/>
    </xf>
    <xf numFmtId="0" fontId="75" fillId="3" borderId="11" xfId="1" applyFont="1" applyFill="1" applyBorder="1" applyAlignment="1">
      <alignment vertical="center" wrapText="1"/>
    </xf>
    <xf numFmtId="0" fontId="62" fillId="4" borderId="18" xfId="1" applyFont="1" applyFill="1" applyBorder="1" applyAlignment="1">
      <alignment horizontal="center" vertical="center" wrapText="1"/>
    </xf>
    <xf numFmtId="0" fontId="59" fillId="0" borderId="18" xfId="1" applyFont="1" applyBorder="1" applyAlignment="1">
      <alignment vertical="center" wrapText="1"/>
    </xf>
    <xf numFmtId="49" fontId="59" fillId="4" borderId="25" xfId="1" quotePrefix="1" applyNumberFormat="1" applyFont="1" applyFill="1" applyBorder="1" applyAlignment="1">
      <alignment horizontal="center" vertical="center" wrapText="1"/>
    </xf>
    <xf numFmtId="0" fontId="62" fillId="4" borderId="9" xfId="1" applyFont="1" applyFill="1" applyBorder="1" applyAlignment="1">
      <alignment horizontal="center" vertical="center" wrapText="1"/>
    </xf>
    <xf numFmtId="0" fontId="59" fillId="0" borderId="20" xfId="1" applyFont="1" applyBorder="1" applyAlignment="1">
      <alignment vertical="center" wrapText="1"/>
    </xf>
    <xf numFmtId="49" fontId="59" fillId="4" borderId="70" xfId="1" applyNumberFormat="1" applyFont="1" applyFill="1" applyBorder="1" applyAlignment="1">
      <alignment horizontal="center" vertical="center" wrapText="1"/>
    </xf>
    <xf numFmtId="0" fontId="74" fillId="5" borderId="8" xfId="1" applyFont="1" applyFill="1" applyBorder="1" applyAlignment="1">
      <alignment horizontal="center" vertical="center" wrapText="1"/>
    </xf>
    <xf numFmtId="0" fontId="72" fillId="4" borderId="18" xfId="1" applyFont="1" applyFill="1" applyBorder="1" applyAlignment="1">
      <alignment vertical="center" wrapText="1"/>
    </xf>
    <xf numFmtId="0" fontId="43" fillId="4" borderId="0" xfId="1" applyFont="1" applyFill="1" applyAlignment="1">
      <alignment horizontal="left" vertical="center" wrapText="1"/>
    </xf>
    <xf numFmtId="49" fontId="43" fillId="4" borderId="18" xfId="1" applyNumberFormat="1" applyFont="1" applyFill="1" applyBorder="1" applyAlignment="1">
      <alignment horizontal="center" vertical="center" wrapText="1"/>
    </xf>
    <xf numFmtId="0" fontId="72" fillId="4" borderId="9" xfId="1" applyFont="1" applyFill="1" applyBorder="1" applyAlignment="1">
      <alignment vertical="center" wrapText="1"/>
    </xf>
    <xf numFmtId="0" fontId="43" fillId="0" borderId="11" xfId="1" applyFont="1" applyBorder="1" applyAlignment="1">
      <alignment vertical="center" wrapText="1"/>
    </xf>
    <xf numFmtId="0" fontId="63" fillId="4" borderId="33" xfId="1" applyFont="1" applyFill="1" applyBorder="1" applyAlignment="1">
      <alignment vertical="center" wrapText="1"/>
    </xf>
    <xf numFmtId="0" fontId="55" fillId="0" borderId="28" xfId="1" applyFont="1" applyBorder="1" applyAlignment="1">
      <alignment vertical="center" wrapText="1"/>
    </xf>
    <xf numFmtId="49" fontId="55" fillId="4" borderId="6" xfId="1" applyNumberFormat="1" applyFont="1" applyFill="1" applyBorder="1" applyAlignment="1">
      <alignment horizontal="center" vertical="center" wrapText="1"/>
    </xf>
    <xf numFmtId="3" fontId="6" fillId="0" borderId="3" xfId="10" applyNumberFormat="1" applyFont="1" applyBorder="1" applyAlignment="1">
      <alignment horizontal="right" vertical="center"/>
    </xf>
    <xf numFmtId="0" fontId="72" fillId="4" borderId="70" xfId="1" applyFont="1" applyFill="1" applyBorder="1" applyAlignment="1">
      <alignment vertical="center" wrapText="1"/>
    </xf>
    <xf numFmtId="0" fontId="72" fillId="4" borderId="14" xfId="1" applyFont="1" applyFill="1" applyBorder="1" applyAlignment="1">
      <alignment vertical="center" wrapText="1"/>
    </xf>
    <xf numFmtId="0" fontId="72" fillId="4" borderId="11" xfId="1" applyFont="1" applyFill="1" applyBorder="1" applyAlignment="1">
      <alignment vertical="center" wrapText="1"/>
    </xf>
    <xf numFmtId="0" fontId="43" fillId="0" borderId="26" xfId="1" applyFont="1" applyBorder="1" applyAlignment="1">
      <alignment vertical="center" wrapText="1"/>
    </xf>
    <xf numFmtId="0" fontId="72" fillId="4" borderId="6" xfId="1" applyFont="1" applyFill="1" applyBorder="1" applyAlignment="1">
      <alignment vertical="center" wrapText="1"/>
    </xf>
    <xf numFmtId="0" fontId="43" fillId="0" borderId="3" xfId="1" applyFont="1" applyBorder="1" applyAlignment="1">
      <alignment vertical="center" wrapText="1"/>
    </xf>
    <xf numFmtId="49" fontId="43" fillId="4" borderId="6" xfId="1" applyNumberFormat="1" applyFont="1" applyFill="1" applyBorder="1" applyAlignment="1">
      <alignment horizontal="center" vertical="center" wrapText="1"/>
    </xf>
    <xf numFmtId="0" fontId="43" fillId="0" borderId="18" xfId="1" applyFont="1" applyBorder="1" applyAlignment="1">
      <alignment vertical="center" wrapText="1"/>
    </xf>
    <xf numFmtId="49" fontId="43" fillId="4" borderId="15" xfId="1" applyNumberFormat="1" applyFont="1" applyFill="1" applyBorder="1" applyAlignment="1">
      <alignment horizontal="center" vertical="center" wrapText="1"/>
    </xf>
    <xf numFmtId="0" fontId="72" fillId="4" borderId="23" xfId="1" applyFont="1" applyFill="1" applyBorder="1" applyAlignment="1">
      <alignment vertical="center" wrapText="1"/>
    </xf>
    <xf numFmtId="0" fontId="43" fillId="4" borderId="25" xfId="1" quotePrefix="1" applyFont="1" applyFill="1" applyBorder="1" applyAlignment="1">
      <alignment horizontal="center" vertical="center" wrapText="1"/>
    </xf>
    <xf numFmtId="0" fontId="43" fillId="4" borderId="32" xfId="1" quotePrefix="1" applyFont="1" applyFill="1" applyBorder="1" applyAlignment="1">
      <alignment horizontal="center" vertical="center" wrapText="1"/>
    </xf>
    <xf numFmtId="0" fontId="43" fillId="4" borderId="23" xfId="1" applyFont="1" applyFill="1" applyBorder="1" applyAlignment="1">
      <alignment horizontal="center" vertical="center" wrapText="1"/>
    </xf>
    <xf numFmtId="0" fontId="81" fillId="5" borderId="8" xfId="1" applyFont="1" applyFill="1" applyBorder="1" applyAlignment="1">
      <alignment horizontal="center" vertical="center" wrapText="1"/>
    </xf>
    <xf numFmtId="0" fontId="81" fillId="4" borderId="9" xfId="1" applyFont="1" applyFill="1" applyBorder="1" applyAlignment="1">
      <alignment vertical="center" wrapText="1"/>
    </xf>
    <xf numFmtId="0" fontId="69" fillId="7" borderId="6" xfId="1" applyFont="1" applyFill="1" applyBorder="1" applyAlignment="1">
      <alignment horizontal="left" vertical="center" wrapText="1"/>
    </xf>
    <xf numFmtId="49" fontId="67" fillId="0" borderId="70" xfId="1" applyNumberFormat="1" applyFont="1" applyBorder="1" applyAlignment="1">
      <alignment horizontal="center" vertical="center" wrapText="1"/>
    </xf>
    <xf numFmtId="3" fontId="36" fillId="0" borderId="21" xfId="10" applyNumberFormat="1" applyFont="1" applyBorder="1" applyAlignment="1">
      <alignment horizontal="right" vertical="center"/>
    </xf>
    <xf numFmtId="0" fontId="67" fillId="4" borderId="20" xfId="1" applyFont="1" applyFill="1" applyBorder="1" applyAlignment="1">
      <alignment horizontal="left" vertical="center" wrapText="1"/>
    </xf>
    <xf numFmtId="3" fontId="36" fillId="0" borderId="9" xfId="10" applyNumberFormat="1" applyFont="1" applyBorder="1" applyAlignment="1">
      <alignment horizontal="right" vertical="center"/>
    </xf>
    <xf numFmtId="0" fontId="67" fillId="4" borderId="0" xfId="1" applyFont="1" applyFill="1" applyAlignment="1">
      <alignment vertical="center" wrapText="1"/>
    </xf>
    <xf numFmtId="0" fontId="69" fillId="7" borderId="70" xfId="1" applyFont="1" applyFill="1" applyBorder="1" applyAlignment="1">
      <alignment horizontal="left" vertical="center" wrapText="1"/>
    </xf>
    <xf numFmtId="0" fontId="81" fillId="4" borderId="3" xfId="1" applyFont="1" applyFill="1" applyBorder="1" applyAlignment="1">
      <alignment vertical="center" wrapText="1"/>
    </xf>
    <xf numFmtId="0" fontId="67" fillId="0" borderId="16" xfId="1" applyFont="1" applyBorder="1" applyAlignment="1">
      <alignment vertical="center" wrapText="1"/>
    </xf>
    <xf numFmtId="0" fontId="67" fillId="4" borderId="20" xfId="1" applyFont="1" applyFill="1" applyBorder="1" applyAlignment="1">
      <alignment vertical="center" wrapText="1"/>
    </xf>
    <xf numFmtId="49" fontId="67" fillId="4" borderId="25" xfId="1" applyNumberFormat="1" applyFont="1" applyFill="1" applyBorder="1" applyAlignment="1">
      <alignment horizontal="center" vertical="center" wrapText="1"/>
    </xf>
    <xf numFmtId="0" fontId="67" fillId="4" borderId="35" xfId="1" applyFont="1" applyFill="1" applyBorder="1" applyAlignment="1">
      <alignment vertical="center" wrapText="1"/>
    </xf>
    <xf numFmtId="0" fontId="69" fillId="4" borderId="26" xfId="1" applyFont="1" applyFill="1" applyBorder="1" applyAlignment="1">
      <alignment horizontal="left" vertical="center" wrapText="1"/>
    </xf>
    <xf numFmtId="0" fontId="67" fillId="4" borderId="31" xfId="1" applyFont="1" applyFill="1" applyBorder="1" applyAlignment="1">
      <alignment horizontal="left" vertical="center" wrapText="1"/>
    </xf>
    <xf numFmtId="0" fontId="69" fillId="4" borderId="9" xfId="1" applyFont="1" applyFill="1" applyBorder="1" applyAlignment="1">
      <alignment horizontal="center" vertical="center" wrapText="1"/>
    </xf>
    <xf numFmtId="0" fontId="41" fillId="7" borderId="25" xfId="1" applyFont="1" applyFill="1" applyBorder="1" applyAlignment="1">
      <alignment horizontal="left" vertical="center" wrapText="1"/>
    </xf>
    <xf numFmtId="0" fontId="55" fillId="0" borderId="13" xfId="1" applyFont="1" applyBorder="1" applyAlignment="1">
      <alignment horizontal="left" vertical="center" wrapText="1"/>
    </xf>
    <xf numFmtId="0" fontId="55" fillId="0" borderId="0" xfId="1" applyFont="1" applyAlignment="1">
      <alignment horizontal="left" vertical="center" wrapText="1"/>
    </xf>
    <xf numFmtId="0" fontId="67" fillId="0" borderId="0" xfId="1" applyFont="1" applyAlignment="1">
      <alignment horizontal="left" vertical="center" wrapText="1"/>
    </xf>
    <xf numFmtId="0" fontId="67" fillId="4" borderId="35" xfId="1" applyFont="1" applyFill="1" applyBorder="1" applyAlignment="1">
      <alignment horizontal="left" vertical="center" wrapText="1"/>
    </xf>
    <xf numFmtId="0" fontId="67" fillId="4" borderId="21" xfId="1" applyFont="1" applyFill="1" applyBorder="1" applyAlignment="1">
      <alignment horizontal="center" vertical="center" wrapText="1"/>
    </xf>
    <xf numFmtId="0" fontId="69" fillId="4" borderId="13" xfId="1" applyFont="1" applyFill="1" applyBorder="1" applyAlignment="1">
      <alignment vertical="center" wrapText="1"/>
    </xf>
    <xf numFmtId="0" fontId="67" fillId="4" borderId="26" xfId="1" applyFont="1" applyFill="1" applyBorder="1" applyAlignment="1">
      <alignment horizontal="left" vertical="center" wrapText="1"/>
    </xf>
    <xf numFmtId="0" fontId="67" fillId="4" borderId="26" xfId="1" applyFont="1" applyFill="1" applyBorder="1" applyAlignment="1">
      <alignment horizontal="center" vertical="center" wrapText="1"/>
    </xf>
    <xf numFmtId="3" fontId="21" fillId="4" borderId="22" xfId="10" applyNumberFormat="1" applyFont="1" applyFill="1" applyBorder="1" applyAlignment="1">
      <alignment horizontal="right" vertical="center"/>
    </xf>
    <xf numFmtId="4" fontId="21" fillId="4" borderId="22" xfId="10" applyNumberFormat="1" applyFont="1" applyFill="1" applyBorder="1" applyAlignment="1">
      <alignment horizontal="right" vertical="center"/>
    </xf>
    <xf numFmtId="0" fontId="55" fillId="4" borderId="13" xfId="1" applyFont="1" applyFill="1" applyBorder="1" applyAlignment="1">
      <alignment horizontal="left" vertical="center" wrapText="1"/>
    </xf>
    <xf numFmtId="49" fontId="55" fillId="4" borderId="13" xfId="1" applyNumberFormat="1" applyFont="1" applyFill="1" applyBorder="1" applyAlignment="1">
      <alignment horizontal="center" vertical="center" wrapText="1"/>
    </xf>
    <xf numFmtId="3" fontId="6" fillId="0" borderId="13" xfId="10" applyNumberFormat="1" applyFont="1" applyBorder="1" applyAlignment="1">
      <alignment horizontal="right" vertical="center"/>
    </xf>
    <xf numFmtId="4" fontId="6" fillId="0" borderId="13" xfId="10" applyNumberFormat="1" applyFont="1" applyBorder="1" applyAlignment="1">
      <alignment horizontal="right" vertical="center"/>
    </xf>
    <xf numFmtId="0" fontId="69" fillId="4" borderId="21" xfId="1" applyFont="1" applyFill="1" applyBorder="1" applyAlignment="1">
      <alignment horizontal="center" vertical="center" wrapText="1"/>
    </xf>
    <xf numFmtId="0" fontId="81" fillId="4" borderId="13" xfId="1" applyFont="1" applyFill="1" applyBorder="1" applyAlignment="1">
      <alignment vertical="center" wrapText="1"/>
    </xf>
    <xf numFmtId="0" fontId="69" fillId="4" borderId="12" xfId="1" applyFont="1" applyFill="1" applyBorder="1" applyAlignment="1">
      <alignment horizontal="center" vertical="center" wrapText="1"/>
    </xf>
    <xf numFmtId="0" fontId="67" fillId="4" borderId="1" xfId="1" applyFont="1" applyFill="1" applyBorder="1" applyAlignment="1">
      <alignment vertical="center" wrapText="1"/>
    </xf>
    <xf numFmtId="49" fontId="67" fillId="4" borderId="11" xfId="1" applyNumberFormat="1" applyFont="1" applyFill="1" applyBorder="1" applyAlignment="1">
      <alignment horizontal="center" vertical="center" wrapText="1"/>
    </xf>
    <xf numFmtId="0" fontId="68" fillId="3" borderId="12" xfId="1" applyFont="1" applyFill="1" applyBorder="1" applyAlignment="1">
      <alignment horizontal="center" vertical="center" wrapText="1"/>
    </xf>
    <xf numFmtId="0" fontId="68" fillId="3" borderId="13" xfId="1" applyFont="1" applyFill="1" applyBorder="1" applyAlignment="1">
      <alignment vertical="center" wrapText="1"/>
    </xf>
    <xf numFmtId="0" fontId="68" fillId="3" borderId="11" xfId="1" applyFont="1" applyFill="1" applyBorder="1" applyAlignment="1">
      <alignment vertical="center" wrapText="1"/>
    </xf>
    <xf numFmtId="3" fontId="24" fillId="3" borderId="9" xfId="10" applyNumberFormat="1" applyFont="1" applyFill="1" applyBorder="1" applyAlignment="1">
      <alignment horizontal="right" vertical="center"/>
    </xf>
    <xf numFmtId="4" fontId="24" fillId="3" borderId="9" xfId="10" applyNumberFormat="1" applyFont="1" applyFill="1" applyBorder="1" applyAlignment="1">
      <alignment horizontal="right" vertical="center"/>
    </xf>
    <xf numFmtId="10" fontId="24" fillId="3" borderId="9" xfId="10" applyNumberFormat="1" applyFont="1" applyFill="1" applyBorder="1" applyAlignment="1">
      <alignment horizontal="right" vertical="center"/>
    </xf>
    <xf numFmtId="0" fontId="67" fillId="0" borderId="20" xfId="1" applyFont="1" applyBorder="1" applyAlignment="1">
      <alignment vertical="center" wrapText="1"/>
    </xf>
    <xf numFmtId="10" fontId="21" fillId="7" borderId="21" xfId="10" applyNumberFormat="1" applyFont="1" applyFill="1" applyBorder="1" applyAlignment="1">
      <alignment horizontal="right" vertical="center"/>
    </xf>
    <xf numFmtId="0" fontId="81" fillId="4" borderId="14" xfId="1" applyFont="1" applyFill="1" applyBorder="1" applyAlignment="1">
      <alignment vertical="center" wrapText="1"/>
    </xf>
    <xf numFmtId="0" fontId="67" fillId="4" borderId="70" xfId="1" applyFont="1" applyFill="1" applyBorder="1" applyAlignment="1">
      <alignment horizontal="left" vertical="center" wrapText="1"/>
    </xf>
    <xf numFmtId="0" fontId="67" fillId="4" borderId="18" xfId="1" applyFont="1" applyFill="1" applyBorder="1" applyAlignment="1">
      <alignment horizontal="left" vertical="center" wrapText="1"/>
    </xf>
    <xf numFmtId="0" fontId="67" fillId="4" borderId="18" xfId="1" applyFont="1" applyFill="1" applyBorder="1" applyAlignment="1">
      <alignment horizontal="center" vertical="center" wrapText="1"/>
    </xf>
    <xf numFmtId="0" fontId="1" fillId="4" borderId="0" xfId="10" applyFont="1" applyFill="1"/>
    <xf numFmtId="0" fontId="81" fillId="0" borderId="9" xfId="1" applyFont="1" applyBorder="1" applyAlignment="1">
      <alignment vertical="center" wrapText="1"/>
    </xf>
    <xf numFmtId="10" fontId="36" fillId="7" borderId="15" xfId="10" applyNumberFormat="1" applyFont="1" applyFill="1" applyBorder="1" applyAlignment="1">
      <alignment horizontal="right" vertical="center"/>
    </xf>
    <xf numFmtId="0" fontId="67" fillId="4" borderId="25" xfId="1" applyFont="1" applyFill="1" applyBorder="1" applyAlignment="1">
      <alignment vertical="center" wrapText="1"/>
    </xf>
    <xf numFmtId="0" fontId="82" fillId="0" borderId="9" xfId="1" applyFont="1" applyBorder="1" applyAlignment="1">
      <alignment horizontal="center" vertical="center" wrapText="1"/>
    </xf>
    <xf numFmtId="0" fontId="82" fillId="4" borderId="9" xfId="1" applyFont="1" applyFill="1" applyBorder="1" applyAlignment="1">
      <alignment horizontal="center" vertical="center" wrapText="1"/>
    </xf>
    <xf numFmtId="0" fontId="69" fillId="7" borderId="33" xfId="1" applyFont="1" applyFill="1" applyBorder="1" applyAlignment="1">
      <alignment horizontal="left" vertical="center" wrapText="1"/>
    </xf>
    <xf numFmtId="0" fontId="69" fillId="4" borderId="15" xfId="1" applyFont="1" applyFill="1" applyBorder="1" applyAlignment="1">
      <alignment horizontal="center" vertical="center" wrapText="1"/>
    </xf>
    <xf numFmtId="0" fontId="67" fillId="0" borderId="17" xfId="1" applyFont="1" applyBorder="1" applyAlignment="1">
      <alignment vertical="center" wrapText="1"/>
    </xf>
    <xf numFmtId="49" fontId="67" fillId="4" borderId="23" xfId="1" applyNumberFormat="1" applyFont="1" applyFill="1" applyBorder="1" applyAlignment="1">
      <alignment horizontal="center" vertical="center" wrapText="1"/>
    </xf>
    <xf numFmtId="0" fontId="82" fillId="4" borderId="13" xfId="1" applyFont="1" applyFill="1" applyBorder="1" applyAlignment="1">
      <alignment horizontal="center" vertical="center" wrapText="1"/>
    </xf>
    <xf numFmtId="0" fontId="59" fillId="5" borderId="12" xfId="1" applyFont="1" applyFill="1" applyBorder="1" applyAlignment="1">
      <alignment horizontal="center" vertical="center" wrapText="1"/>
    </xf>
    <xf numFmtId="0" fontId="74" fillId="5" borderId="13" xfId="1" applyFont="1" applyFill="1" applyBorder="1" applyAlignment="1">
      <alignment horizontal="left" vertical="center" wrapText="1"/>
    </xf>
    <xf numFmtId="0" fontId="60" fillId="5" borderId="11" xfId="1" applyFont="1" applyFill="1" applyBorder="1" applyAlignment="1">
      <alignment horizontal="left" vertical="center" wrapText="1"/>
    </xf>
    <xf numFmtId="3" fontId="13" fillId="5" borderId="13" xfId="10" applyNumberFormat="1" applyFont="1" applyFill="1" applyBorder="1" applyAlignment="1">
      <alignment horizontal="right" vertical="center"/>
    </xf>
    <xf numFmtId="4" fontId="13" fillId="5" borderId="13" xfId="10" applyNumberFormat="1" applyFont="1" applyFill="1" applyBorder="1" applyAlignment="1">
      <alignment horizontal="right" vertical="center"/>
    </xf>
    <xf numFmtId="0" fontId="75" fillId="4" borderId="9" xfId="1" applyFont="1" applyFill="1" applyBorder="1" applyAlignment="1">
      <alignment horizontal="center" vertical="center" wrapText="1"/>
    </xf>
    <xf numFmtId="0" fontId="76" fillId="3" borderId="7" xfId="1" applyFont="1" applyFill="1" applyBorder="1" applyAlignment="1">
      <alignment horizontal="center" vertical="center" wrapText="1"/>
    </xf>
    <xf numFmtId="0" fontId="76" fillId="3" borderId="8" xfId="1" applyFont="1" applyFill="1" applyBorder="1" applyAlignment="1">
      <alignment horizontal="left" vertical="center" wrapText="1"/>
    </xf>
    <xf numFmtId="0" fontId="64" fillId="3" borderId="2" xfId="1" applyFont="1" applyFill="1" applyBorder="1" applyAlignment="1">
      <alignment horizontal="left" vertical="center" wrapText="1"/>
    </xf>
    <xf numFmtId="0" fontId="63" fillId="7" borderId="6" xfId="1" applyFont="1" applyFill="1" applyBorder="1" applyAlignment="1">
      <alignment horizontal="left" vertical="center" wrapText="1"/>
    </xf>
    <xf numFmtId="0" fontId="43" fillId="4" borderId="19" xfId="1" applyFont="1" applyFill="1" applyBorder="1" applyAlignment="1">
      <alignment horizontal="left" vertical="center" wrapText="1"/>
    </xf>
    <xf numFmtId="49" fontId="43" fillId="4" borderId="35" xfId="1" applyNumberFormat="1" applyFont="1" applyFill="1" applyBorder="1" applyAlignment="1">
      <alignment horizontal="center" vertical="center" wrapText="1"/>
    </xf>
    <xf numFmtId="10" fontId="2" fillId="4" borderId="18" xfId="10" applyNumberFormat="1" applyFont="1" applyFill="1" applyBorder="1" applyAlignment="1">
      <alignment horizontal="right" vertical="center"/>
    </xf>
    <xf numFmtId="0" fontId="43" fillId="4" borderId="27" xfId="1" applyFont="1" applyFill="1" applyBorder="1" applyAlignment="1">
      <alignment horizontal="center" vertical="center" wrapText="1"/>
    </xf>
    <xf numFmtId="0" fontId="43" fillId="4" borderId="20" xfId="1" applyFont="1" applyFill="1" applyBorder="1" applyAlignment="1">
      <alignment horizontal="center" vertical="center" wrapText="1"/>
    </xf>
    <xf numFmtId="3" fontId="2" fillId="7" borderId="9" xfId="10" applyNumberFormat="1" applyFont="1" applyFill="1" applyBorder="1" applyAlignment="1">
      <alignment horizontal="right" vertical="center"/>
    </xf>
    <xf numFmtId="4" fontId="2" fillId="7" borderId="9" xfId="10" applyNumberFormat="1" applyFont="1" applyFill="1" applyBorder="1" applyAlignment="1">
      <alignment horizontal="right" vertical="center"/>
    </xf>
    <xf numFmtId="10" fontId="2" fillId="7" borderId="9" xfId="10" applyNumberFormat="1" applyFont="1" applyFill="1" applyBorder="1" applyAlignment="1">
      <alignment horizontal="right" vertical="center"/>
    </xf>
    <xf numFmtId="0" fontId="75" fillId="0" borderId="9" xfId="1" applyFont="1" applyBorder="1" applyAlignment="1">
      <alignment horizontal="center" vertical="center" wrapText="1"/>
    </xf>
    <xf numFmtId="0" fontId="64" fillId="3" borderId="7" xfId="1" applyFont="1" applyFill="1" applyBorder="1" applyAlignment="1">
      <alignment horizontal="center" vertical="center" wrapText="1"/>
    </xf>
    <xf numFmtId="0" fontId="64" fillId="3" borderId="8" xfId="1" applyFont="1" applyFill="1" applyBorder="1" applyAlignment="1">
      <alignment horizontal="left" vertical="center" wrapText="1"/>
    </xf>
    <xf numFmtId="0" fontId="63" fillId="4" borderId="15" xfId="1" applyFont="1" applyFill="1" applyBorder="1" applyAlignment="1">
      <alignment horizontal="center" vertical="center" wrapText="1"/>
    </xf>
    <xf numFmtId="0" fontId="55" fillId="0" borderId="21" xfId="1" applyFont="1" applyBorder="1" applyAlignment="1">
      <alignment horizontal="left" vertical="center" wrapText="1"/>
    </xf>
    <xf numFmtId="0" fontId="55" fillId="4" borderId="20" xfId="1" applyFont="1" applyFill="1" applyBorder="1" applyAlignment="1">
      <alignment horizontal="center" vertical="center" wrapText="1"/>
    </xf>
    <xf numFmtId="3" fontId="6" fillId="7" borderId="9" xfId="10" applyNumberFormat="1" applyFont="1" applyFill="1" applyBorder="1" applyAlignment="1">
      <alignment horizontal="right" vertical="center"/>
    </xf>
    <xf numFmtId="4" fontId="6" fillId="7" borderId="9" xfId="10" applyNumberFormat="1" applyFont="1" applyFill="1" applyBorder="1" applyAlignment="1">
      <alignment horizontal="right" vertical="center"/>
    </xf>
    <xf numFmtId="10" fontId="6" fillId="7" borderId="9" xfId="10" applyNumberFormat="1" applyFont="1" applyFill="1" applyBorder="1" applyAlignment="1">
      <alignment horizontal="right" vertical="center"/>
    </xf>
    <xf numFmtId="0" fontId="40" fillId="2" borderId="8" xfId="1" applyFont="1" applyFill="1" applyBorder="1" applyAlignment="1">
      <alignment horizontal="center" vertical="center" wrapText="1"/>
    </xf>
    <xf numFmtId="0" fontId="41" fillId="2" borderId="8" xfId="1" applyFont="1" applyFill="1" applyBorder="1" applyAlignment="1">
      <alignment horizontal="left" vertical="center" wrapText="1"/>
    </xf>
    <xf numFmtId="0" fontId="40" fillId="2" borderId="8" xfId="1" applyFont="1" applyFill="1" applyBorder="1" applyAlignment="1">
      <alignment horizontal="left" vertical="center" wrapText="1"/>
    </xf>
    <xf numFmtId="0" fontId="41" fillId="2" borderId="2" xfId="1" applyFont="1" applyFill="1" applyBorder="1" applyAlignment="1">
      <alignment horizontal="left" vertical="center" wrapText="1"/>
    </xf>
    <xf numFmtId="3" fontId="13" fillId="2" borderId="8" xfId="10" applyNumberFormat="1" applyFont="1" applyFill="1" applyBorder="1" applyAlignment="1">
      <alignment horizontal="right" vertical="center"/>
    </xf>
    <xf numFmtId="4" fontId="13" fillId="2" borderId="8" xfId="10" applyNumberFormat="1" applyFont="1" applyFill="1" applyBorder="1" applyAlignment="1">
      <alignment horizontal="right" vertical="center"/>
    </xf>
    <xf numFmtId="10" fontId="13" fillId="2" borderId="8" xfId="10" applyNumberFormat="1" applyFont="1" applyFill="1" applyBorder="1" applyAlignment="1">
      <alignment horizontal="right" vertical="center"/>
    </xf>
    <xf numFmtId="0" fontId="40" fillId="4" borderId="9" xfId="1" applyFont="1" applyFill="1" applyBorder="1" applyAlignment="1">
      <alignment vertical="center" wrapText="1"/>
    </xf>
    <xf numFmtId="0" fontId="53" fillId="0" borderId="9" xfId="10" applyFont="1" applyBorder="1" applyAlignment="1">
      <alignment horizontal="center" vertical="center"/>
    </xf>
    <xf numFmtId="10" fontId="6" fillId="4" borderId="21" xfId="10" applyNumberFormat="1" applyFont="1" applyFill="1" applyBorder="1" applyAlignment="1">
      <alignment horizontal="right" vertical="center"/>
    </xf>
    <xf numFmtId="0" fontId="53" fillId="0" borderId="14" xfId="10" applyFont="1" applyBorder="1" applyAlignment="1">
      <alignment horizontal="center" vertical="center"/>
    </xf>
    <xf numFmtId="0" fontId="5" fillId="13" borderId="2" xfId="1" applyFont="1" applyFill="1" applyBorder="1" applyAlignment="1">
      <alignment horizontal="center" vertical="center" wrapText="1"/>
    </xf>
    <xf numFmtId="3" fontId="8" fillId="13" borderId="8" xfId="10" applyNumberFormat="1" applyFont="1" applyFill="1" applyBorder="1" applyAlignment="1">
      <alignment horizontal="right" vertical="center"/>
    </xf>
    <xf numFmtId="4" fontId="8" fillId="13" borderId="8" xfId="10" applyNumberFormat="1" applyFont="1" applyFill="1" applyBorder="1" applyAlignment="1">
      <alignment horizontal="right" vertical="center"/>
    </xf>
    <xf numFmtId="10" fontId="8" fillId="13" borderId="8" xfId="10" applyNumberFormat="1" applyFont="1" applyFill="1" applyBorder="1" applyAlignment="1">
      <alignment horizontal="right" vertical="center"/>
    </xf>
    <xf numFmtId="0" fontId="84" fillId="7" borderId="23" xfId="1" applyFont="1" applyFill="1" applyBorder="1" applyAlignment="1">
      <alignment horizontal="left" vertical="center"/>
    </xf>
    <xf numFmtId="0" fontId="84" fillId="7" borderId="17" xfId="1" applyFont="1" applyFill="1" applyBorder="1" applyAlignment="1">
      <alignment horizontal="left" vertical="center"/>
    </xf>
    <xf numFmtId="0" fontId="3" fillId="7" borderId="37" xfId="1" applyFont="1" applyFill="1" applyBorder="1" applyAlignment="1">
      <alignment vertical="center"/>
    </xf>
    <xf numFmtId="3" fontId="8" fillId="7" borderId="37" xfId="10" applyNumberFormat="1" applyFont="1" applyFill="1" applyBorder="1" applyAlignment="1">
      <alignment horizontal="right" vertical="center"/>
    </xf>
    <xf numFmtId="4" fontId="8" fillId="7" borderId="37" xfId="10" applyNumberFormat="1" applyFont="1" applyFill="1" applyBorder="1" applyAlignment="1">
      <alignment horizontal="right" vertical="center"/>
    </xf>
    <xf numFmtId="10" fontId="8" fillId="7" borderId="38" xfId="10" applyNumberFormat="1" applyFont="1" applyFill="1" applyBorder="1" applyAlignment="1">
      <alignment horizontal="right" vertical="center"/>
    </xf>
    <xf numFmtId="0" fontId="84" fillId="7" borderId="39" xfId="1" applyFont="1" applyFill="1" applyBorder="1" applyAlignment="1">
      <alignment horizontal="left" vertical="center"/>
    </xf>
    <xf numFmtId="0" fontId="84" fillId="7" borderId="47" xfId="1" applyFont="1" applyFill="1" applyBorder="1" applyAlignment="1">
      <alignment horizontal="left" vertical="center"/>
    </xf>
    <xf numFmtId="0" fontId="84" fillId="7" borderId="48" xfId="1" applyFont="1" applyFill="1" applyBorder="1" applyAlignment="1">
      <alignment horizontal="left" vertical="center"/>
    </xf>
    <xf numFmtId="0" fontId="3" fillId="7" borderId="41" xfId="1" applyFont="1" applyFill="1" applyBorder="1" applyAlignment="1">
      <alignment vertical="center"/>
    </xf>
    <xf numFmtId="3" fontId="84" fillId="7" borderId="41" xfId="10" applyNumberFormat="1" applyFont="1" applyFill="1" applyBorder="1" applyAlignment="1">
      <alignment horizontal="right" vertical="center"/>
    </xf>
    <xf numFmtId="4" fontId="84" fillId="7" borderId="41" xfId="10" applyNumberFormat="1" applyFont="1" applyFill="1" applyBorder="1" applyAlignment="1">
      <alignment horizontal="right" vertical="center"/>
    </xf>
    <xf numFmtId="10" fontId="84" fillId="7" borderId="42" xfId="10" applyNumberFormat="1" applyFont="1" applyFill="1" applyBorder="1" applyAlignment="1">
      <alignment horizontal="right" vertical="center"/>
    </xf>
    <xf numFmtId="0" fontId="84" fillId="7" borderId="55" xfId="1" applyFont="1" applyFill="1" applyBorder="1" applyAlignment="1">
      <alignment horizontal="left" vertical="center"/>
    </xf>
    <xf numFmtId="0" fontId="84" fillId="7" borderId="56" xfId="1" applyFont="1" applyFill="1" applyBorder="1" applyAlignment="1">
      <alignment horizontal="left" vertical="center"/>
    </xf>
    <xf numFmtId="0" fontId="3" fillId="7" borderId="56" xfId="1" applyFont="1" applyFill="1" applyBorder="1" applyAlignment="1">
      <alignment vertical="center"/>
    </xf>
    <xf numFmtId="3" fontId="84" fillId="7" borderId="56" xfId="10" applyNumberFormat="1" applyFont="1" applyFill="1" applyBorder="1" applyAlignment="1">
      <alignment horizontal="right" vertical="center"/>
    </xf>
    <xf numFmtId="4" fontId="84" fillId="7" borderId="56" xfId="10" applyNumberFormat="1" applyFont="1" applyFill="1" applyBorder="1" applyAlignment="1">
      <alignment horizontal="right" vertical="center"/>
    </xf>
    <xf numFmtId="10" fontId="84" fillId="7" borderId="59" xfId="10" applyNumberFormat="1" applyFont="1" applyFill="1" applyBorder="1" applyAlignment="1">
      <alignment horizontal="right" vertical="center"/>
    </xf>
    <xf numFmtId="3" fontId="6" fillId="0" borderId="0" xfId="10" applyNumberFormat="1" applyFont="1" applyAlignment="1">
      <alignment horizontal="right" vertical="center"/>
    </xf>
    <xf numFmtId="0" fontId="53" fillId="0" borderId="0" xfId="10" applyFont="1"/>
    <xf numFmtId="4" fontId="6" fillId="0" borderId="0" xfId="10" applyNumberFormat="1" applyFont="1" applyAlignment="1">
      <alignment horizontal="right" vertical="center"/>
    </xf>
    <xf numFmtId="10" fontId="6" fillId="0" borderId="0" xfId="10" applyNumberFormat="1" applyFont="1" applyAlignment="1">
      <alignment horizontal="right" vertical="center"/>
    </xf>
    <xf numFmtId="0" fontId="85" fillId="0" borderId="0" xfId="10" applyFont="1"/>
    <xf numFmtId="3" fontId="86" fillId="0" borderId="0" xfId="10" applyNumberFormat="1" applyFont="1" applyAlignment="1">
      <alignment horizontal="right" vertical="center"/>
    </xf>
    <xf numFmtId="4" fontId="86" fillId="0" borderId="0" xfId="10" applyNumberFormat="1" applyFont="1" applyAlignment="1">
      <alignment horizontal="right" vertical="center"/>
    </xf>
    <xf numFmtId="0" fontId="43" fillId="0" borderId="0" xfId="12" applyNumberFormat="1" applyFont="1" applyFill="1" applyBorder="1" applyAlignment="1" applyProtection="1">
      <alignment horizontal="left" vertical="center"/>
      <protection locked="0"/>
    </xf>
    <xf numFmtId="49" fontId="88" fillId="15" borderId="2" xfId="12" applyNumberFormat="1" applyFont="1" applyFill="1" applyBorder="1" applyAlignment="1" applyProtection="1">
      <alignment horizontal="center" vertical="center" wrapText="1"/>
      <protection locked="0"/>
    </xf>
    <xf numFmtId="49" fontId="88" fillId="15" borderId="8" xfId="12" applyNumberFormat="1" applyFont="1" applyFill="1" applyBorder="1" applyAlignment="1" applyProtection="1">
      <alignment horizontal="center" vertical="center" wrapText="1"/>
      <protection locked="0"/>
    </xf>
    <xf numFmtId="49" fontId="88" fillId="15" borderId="7" xfId="12" applyNumberFormat="1" applyFont="1" applyFill="1" applyBorder="1" applyAlignment="1" applyProtection="1">
      <alignment horizontal="center" vertical="center" wrapText="1"/>
      <protection locked="0"/>
    </xf>
    <xf numFmtId="0" fontId="88" fillId="2" borderId="8" xfId="12" applyNumberFormat="1" applyFont="1" applyFill="1" applyBorder="1" applyAlignment="1" applyProtection="1">
      <alignment horizontal="center" vertical="center" wrapText="1"/>
      <protection locked="0"/>
    </xf>
    <xf numFmtId="3" fontId="88" fillId="2" borderId="8" xfId="12" applyNumberFormat="1" applyFont="1" applyFill="1" applyBorder="1" applyAlignment="1" applyProtection="1">
      <alignment horizontal="center" vertical="center" wrapText="1"/>
      <protection locked="0"/>
    </xf>
    <xf numFmtId="4" fontId="88" fillId="2" borderId="8" xfId="12" applyNumberFormat="1" applyFont="1" applyFill="1" applyBorder="1" applyAlignment="1" applyProtection="1">
      <alignment horizontal="center" vertical="center" wrapText="1"/>
      <protection locked="0"/>
    </xf>
    <xf numFmtId="10" fontId="88" fillId="2" borderId="8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2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8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7" xfId="12" applyNumberFormat="1" applyFont="1" applyFill="1" applyBorder="1" applyAlignment="1" applyProtection="1">
      <alignment horizontal="center" vertical="center" wrapText="1"/>
      <protection locked="0"/>
    </xf>
    <xf numFmtId="0" fontId="40" fillId="0" borderId="8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8" xfId="12" applyNumberFormat="1" applyFont="1" applyFill="1" applyBorder="1" applyAlignment="1" applyProtection="1">
      <alignment horizontal="center" vertical="center"/>
      <protection locked="0"/>
    </xf>
    <xf numFmtId="4" fontId="40" fillId="0" borderId="8" xfId="12" applyNumberFormat="1" applyFont="1" applyFill="1" applyBorder="1" applyAlignment="1" applyProtection="1">
      <alignment horizontal="center" vertical="center"/>
      <protection locked="0"/>
    </xf>
    <xf numFmtId="49" fontId="40" fillId="0" borderId="8" xfId="12" applyNumberFormat="1" applyFont="1" applyFill="1" applyBorder="1" applyAlignment="1" applyProtection="1">
      <alignment horizontal="center" vertical="center"/>
      <protection locked="0"/>
    </xf>
    <xf numFmtId="49" fontId="40" fillId="17" borderId="6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3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72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73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3" xfId="12" applyNumberFormat="1" applyFont="1" applyFill="1" applyBorder="1" applyAlignment="1" applyProtection="1">
      <alignment horizontal="right" vertical="center"/>
      <protection locked="0"/>
    </xf>
    <xf numFmtId="3" fontId="40" fillId="13" borderId="14" xfId="12" applyNumberFormat="1" applyFont="1" applyFill="1" applyBorder="1" applyAlignment="1" applyProtection="1">
      <alignment horizontal="right" vertical="center"/>
      <protection locked="0"/>
    </xf>
    <xf numFmtId="4" fontId="40" fillId="13" borderId="9" xfId="12" applyNumberFormat="1" applyFont="1" applyFill="1" applyBorder="1" applyAlignment="1" applyProtection="1">
      <alignment horizontal="right" vertical="center"/>
      <protection locked="0"/>
    </xf>
    <xf numFmtId="10" fontId="40" fillId="13" borderId="10" xfId="12" applyNumberFormat="1" applyFont="1" applyFill="1" applyBorder="1" applyAlignment="1" applyProtection="1">
      <alignment horizontal="right" vertical="center"/>
      <protection locked="0"/>
    </xf>
    <xf numFmtId="49" fontId="43" fillId="16" borderId="6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74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75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76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74" xfId="12" applyNumberFormat="1" applyFont="1" applyFill="1" applyBorder="1" applyAlignment="1" applyProtection="1">
      <alignment horizontal="right" vertical="center"/>
      <protection locked="0"/>
    </xf>
    <xf numFmtId="3" fontId="61" fillId="6" borderId="77" xfId="12" applyNumberFormat="1" applyFont="1" applyFill="1" applyBorder="1" applyAlignment="1" applyProtection="1">
      <alignment horizontal="right" vertical="center"/>
      <protection locked="0"/>
    </xf>
    <xf numFmtId="4" fontId="61" fillId="6" borderId="74" xfId="12" applyNumberFormat="1" applyFont="1" applyFill="1" applyBorder="1" applyAlignment="1" applyProtection="1">
      <alignment horizontal="right" vertical="center"/>
      <protection locked="0"/>
    </xf>
    <xf numFmtId="10" fontId="40" fillId="6" borderId="8" xfId="12" applyNumberFormat="1" applyFont="1" applyFill="1" applyBorder="1" applyAlignment="1" applyProtection="1">
      <alignment horizontal="right" vertical="center"/>
      <protection locked="0"/>
    </xf>
    <xf numFmtId="49" fontId="43" fillId="16" borderId="14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15" xfId="12" applyNumberFormat="1" applyFont="1" applyFill="1" applyBorder="1" applyAlignment="1" applyProtection="1">
      <alignment horizontal="right" vertical="center"/>
      <protection locked="0"/>
    </xf>
    <xf numFmtId="3" fontId="40" fillId="0" borderId="23" xfId="12" applyNumberFormat="1" applyFont="1" applyFill="1" applyBorder="1" applyAlignment="1" applyProtection="1">
      <alignment horizontal="right" vertical="center"/>
      <protection locked="0"/>
    </xf>
    <xf numFmtId="4" fontId="40" fillId="0" borderId="15" xfId="12" applyNumberFormat="1" applyFont="1" applyFill="1" applyBorder="1" applyAlignment="1" applyProtection="1">
      <alignment horizontal="right" vertical="center"/>
      <protection locked="0"/>
    </xf>
    <xf numFmtId="10" fontId="40" fillId="0" borderId="16" xfId="12" applyNumberFormat="1" applyFont="1" applyFill="1" applyBorder="1" applyAlignment="1" applyProtection="1">
      <alignment horizontal="right" vertical="center"/>
      <protection locked="0"/>
    </xf>
    <xf numFmtId="3" fontId="43" fillId="0" borderId="21" xfId="12" applyNumberFormat="1" applyFont="1" applyFill="1" applyBorder="1" applyAlignment="1" applyProtection="1">
      <alignment vertical="center"/>
      <protection locked="0"/>
    </xf>
    <xf numFmtId="3" fontId="43" fillId="0" borderId="25" xfId="12" applyNumberFormat="1" applyFont="1" applyFill="1" applyBorder="1" applyAlignment="1" applyProtection="1">
      <alignment horizontal="right" vertical="center"/>
      <protection locked="0"/>
    </xf>
    <xf numFmtId="4" fontId="43" fillId="0" borderId="21" xfId="12" applyNumberFormat="1" applyFont="1" applyFill="1" applyBorder="1" applyAlignment="1" applyProtection="1">
      <alignment horizontal="right" vertical="center"/>
      <protection locked="0"/>
    </xf>
    <xf numFmtId="10" fontId="43" fillId="0" borderId="16" xfId="12" applyNumberFormat="1" applyFont="1" applyFill="1" applyBorder="1" applyAlignment="1" applyProtection="1">
      <alignment horizontal="right" vertical="center"/>
      <protection locked="0"/>
    </xf>
    <xf numFmtId="3" fontId="41" fillId="0" borderId="80" xfId="12" applyNumberFormat="1" applyFont="1" applyFill="1" applyBorder="1" applyAlignment="1" applyProtection="1">
      <alignment horizontal="right" vertical="center"/>
      <protection locked="0"/>
    </xf>
    <xf numFmtId="3" fontId="41" fillId="0" borderId="81" xfId="12" applyNumberFormat="1" applyFont="1" applyFill="1" applyBorder="1" applyAlignment="1" applyProtection="1">
      <alignment horizontal="right" vertical="center"/>
      <protection locked="0"/>
    </xf>
    <xf numFmtId="4" fontId="41" fillId="0" borderId="80" xfId="12" applyNumberFormat="1" applyFont="1" applyFill="1" applyBorder="1" applyAlignment="1" applyProtection="1">
      <alignment horizontal="right" vertical="center"/>
      <protection locked="0"/>
    </xf>
    <xf numFmtId="10" fontId="41" fillId="0" borderId="16" xfId="12" applyNumberFormat="1" applyFont="1" applyFill="1" applyBorder="1" applyAlignment="1" applyProtection="1">
      <alignment horizontal="right" vertical="center"/>
      <protection locked="0"/>
    </xf>
    <xf numFmtId="49" fontId="43" fillId="16" borderId="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0" xfId="12" applyNumberFormat="1" applyFont="1" applyFill="1" applyBorder="1" applyAlignment="1" applyProtection="1">
      <alignment horizontal="right" vertical="center"/>
      <protection locked="0"/>
    </xf>
    <xf numFmtId="3" fontId="43" fillId="0" borderId="84" xfId="12" applyNumberFormat="1" applyFont="1" applyFill="1" applyBorder="1" applyAlignment="1" applyProtection="1">
      <alignment horizontal="right" vertical="center"/>
      <protection locked="0"/>
    </xf>
    <xf numFmtId="4" fontId="43" fillId="0" borderId="80" xfId="12" applyNumberFormat="1" applyFont="1" applyFill="1" applyBorder="1" applyAlignment="1" applyProtection="1">
      <alignment horizontal="right" vertical="center"/>
      <protection locked="0"/>
    </xf>
    <xf numFmtId="49" fontId="43" fillId="16" borderId="8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7" xfId="12" applyNumberFormat="1" applyFont="1" applyFill="1" applyBorder="1" applyAlignment="1" applyProtection="1">
      <alignment horizontal="right" vertical="center"/>
      <protection locked="0"/>
    </xf>
    <xf numFmtId="4" fontId="43" fillId="0" borderId="87" xfId="12" applyNumberFormat="1" applyFont="1" applyFill="1" applyBorder="1" applyAlignment="1" applyProtection="1">
      <alignment horizontal="right" vertical="center"/>
      <protection locked="0"/>
    </xf>
    <xf numFmtId="49" fontId="43" fillId="16" borderId="88" xfId="12" applyNumberFormat="1" applyFont="1" applyFill="1" applyBorder="1" applyAlignment="1" applyProtection="1">
      <alignment vertical="center" wrapText="1"/>
      <protection locked="0"/>
    </xf>
    <xf numFmtId="49" fontId="43" fillId="16" borderId="9" xfId="12" applyNumberFormat="1" applyFont="1" applyFill="1" applyBorder="1" applyAlignment="1" applyProtection="1">
      <alignment vertical="center" wrapText="1"/>
      <protection locked="0"/>
    </xf>
    <xf numFmtId="4" fontId="43" fillId="0" borderId="0" xfId="12" applyNumberFormat="1" applyFont="1" applyFill="1" applyBorder="1" applyAlignment="1" applyProtection="1">
      <alignment horizontal="left" vertical="center"/>
      <protection locked="0"/>
    </xf>
    <xf numFmtId="3" fontId="41" fillId="0" borderId="87" xfId="12" applyNumberFormat="1" applyFont="1" applyFill="1" applyBorder="1" applyAlignment="1" applyProtection="1">
      <alignment horizontal="right" vertical="center"/>
      <protection locked="0"/>
    </xf>
    <xf numFmtId="3" fontId="41" fillId="0" borderId="89" xfId="12" applyNumberFormat="1" applyFont="1" applyFill="1" applyBorder="1" applyAlignment="1" applyProtection="1">
      <alignment horizontal="right" vertical="center"/>
      <protection locked="0"/>
    </xf>
    <xf numFmtId="4" fontId="41" fillId="0" borderId="87" xfId="12" applyNumberFormat="1" applyFont="1" applyFill="1" applyBorder="1" applyAlignment="1" applyProtection="1">
      <alignment horizontal="right" vertical="center"/>
      <protection locked="0"/>
    </xf>
    <xf numFmtId="0" fontId="43" fillId="0" borderId="0" xfId="12" applyNumberFormat="1" applyFont="1" applyFill="1" applyBorder="1" applyAlignment="1" applyProtection="1">
      <alignment horizontal="right" vertical="center"/>
      <protection locked="0"/>
    </xf>
    <xf numFmtId="49" fontId="43" fillId="16" borderId="1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2" xfId="12" applyNumberFormat="1" applyFont="1" applyFill="1" applyBorder="1" applyAlignment="1" applyProtection="1">
      <alignment horizontal="right" vertical="center"/>
      <protection locked="0"/>
    </xf>
    <xf numFmtId="3" fontId="43" fillId="0" borderId="93" xfId="12" applyNumberFormat="1" applyFont="1" applyFill="1" applyBorder="1" applyAlignment="1" applyProtection="1">
      <alignment horizontal="right" vertical="center"/>
      <protection locked="0"/>
    </xf>
    <xf numFmtId="4" fontId="43" fillId="0" borderId="92" xfId="12" applyNumberFormat="1" applyFont="1" applyFill="1" applyBorder="1" applyAlignment="1" applyProtection="1">
      <alignment horizontal="right" vertical="center"/>
      <protection locked="0"/>
    </xf>
    <xf numFmtId="10" fontId="43" fillId="0" borderId="12" xfId="12" applyNumberFormat="1" applyFont="1" applyFill="1" applyBorder="1" applyAlignment="1" applyProtection="1">
      <alignment horizontal="right" vertical="center"/>
      <protection locked="0"/>
    </xf>
    <xf numFmtId="49" fontId="43" fillId="16" borderId="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3" xfId="12" applyNumberFormat="1" applyFont="1" applyFill="1" applyBorder="1" applyAlignment="1" applyProtection="1">
      <alignment horizontal="right" vertical="center"/>
      <protection locked="0"/>
    </xf>
    <xf numFmtId="3" fontId="43" fillId="0" borderId="52" xfId="12" applyNumberFormat="1" applyFont="1" applyFill="1" applyBorder="1" applyAlignment="1" applyProtection="1">
      <alignment horizontal="right" vertical="center"/>
      <protection locked="0"/>
    </xf>
    <xf numFmtId="4" fontId="43" fillId="0" borderId="33" xfId="12" applyNumberFormat="1" applyFont="1" applyFill="1" applyBorder="1" applyAlignment="1" applyProtection="1">
      <alignment horizontal="right" vertical="center"/>
      <protection locked="0"/>
    </xf>
    <xf numFmtId="10" fontId="43" fillId="0" borderId="30" xfId="12" applyNumberFormat="1" applyFont="1" applyFill="1" applyBorder="1" applyAlignment="1" applyProtection="1">
      <alignment horizontal="right" vertical="center"/>
      <protection locked="0"/>
    </xf>
    <xf numFmtId="49" fontId="43" fillId="16" borderId="9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5" xfId="12" applyNumberFormat="1" applyFont="1" applyFill="1" applyBorder="1" applyAlignment="1" applyProtection="1">
      <alignment horizontal="right" vertical="center"/>
      <protection locked="0"/>
    </xf>
    <xf numFmtId="3" fontId="43" fillId="0" borderId="98" xfId="12" applyNumberFormat="1" applyFont="1" applyFill="1" applyBorder="1" applyAlignment="1" applyProtection="1">
      <alignment horizontal="right" vertical="center"/>
      <protection locked="0"/>
    </xf>
    <xf numFmtId="4" fontId="43" fillId="0" borderId="15" xfId="12" applyNumberFormat="1" applyFont="1" applyFill="1" applyBorder="1" applyAlignment="1" applyProtection="1">
      <alignment horizontal="right" vertical="center"/>
      <protection locked="0"/>
    </xf>
    <xf numFmtId="10" fontId="43" fillId="0" borderId="99" xfId="12" applyNumberFormat="1" applyFont="1" applyFill="1" applyBorder="1" applyAlignment="1" applyProtection="1">
      <alignment horizontal="right" vertical="center"/>
      <protection locked="0"/>
    </xf>
    <xf numFmtId="3" fontId="43" fillId="0" borderId="89" xfId="12" applyNumberFormat="1" applyFont="1" applyFill="1" applyBorder="1" applyAlignment="1" applyProtection="1">
      <alignment horizontal="right" vertical="center"/>
      <protection locked="0"/>
    </xf>
    <xf numFmtId="49" fontId="43" fillId="16" borderId="10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" xfId="12" applyNumberFormat="1" applyFont="1" applyFill="1" applyBorder="1" applyAlignment="1" applyProtection="1">
      <alignment horizontal="right" vertical="center"/>
      <protection locked="0"/>
    </xf>
    <xf numFmtId="3" fontId="40" fillId="0" borderId="105" xfId="12" applyNumberFormat="1" applyFont="1" applyFill="1" applyBorder="1" applyAlignment="1" applyProtection="1">
      <alignment horizontal="right" vertical="center"/>
      <protection locked="0"/>
    </xf>
    <xf numFmtId="3" fontId="40" fillId="0" borderId="106" xfId="12" applyNumberFormat="1" applyFont="1" applyFill="1" applyBorder="1" applyAlignment="1" applyProtection="1">
      <alignment horizontal="right" vertical="center"/>
      <protection locked="0"/>
    </xf>
    <xf numFmtId="4" fontId="40" fillId="0" borderId="105" xfId="12" applyNumberFormat="1" applyFont="1" applyFill="1" applyBorder="1" applyAlignment="1" applyProtection="1">
      <alignment horizontal="right" vertical="center"/>
      <protection locked="0"/>
    </xf>
    <xf numFmtId="10" fontId="40" fillId="0" borderId="99" xfId="12" applyNumberFormat="1" applyFont="1" applyFill="1" applyBorder="1" applyAlignment="1" applyProtection="1">
      <alignment horizontal="right" vertical="center"/>
      <protection locked="0"/>
    </xf>
    <xf numFmtId="3" fontId="43" fillId="0" borderId="105" xfId="12" applyNumberFormat="1" applyFont="1" applyFill="1" applyBorder="1" applyAlignment="1" applyProtection="1">
      <alignment horizontal="right" vertical="center"/>
      <protection locked="0"/>
    </xf>
    <xf numFmtId="3" fontId="43" fillId="0" borderId="106" xfId="12" applyNumberFormat="1" applyFont="1" applyFill="1" applyBorder="1" applyAlignment="1" applyProtection="1">
      <alignment horizontal="right" vertical="center"/>
      <protection locked="0"/>
    </xf>
    <xf numFmtId="4" fontId="43" fillId="0" borderId="105" xfId="12" applyNumberFormat="1" applyFont="1" applyFill="1" applyBorder="1" applyAlignment="1" applyProtection="1">
      <alignment horizontal="right" vertical="center"/>
      <protection locked="0"/>
    </xf>
    <xf numFmtId="49" fontId="43" fillId="16" borderId="10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6" xfId="12" applyNumberFormat="1" applyFont="1" applyFill="1" applyBorder="1" applyAlignment="1" applyProtection="1">
      <alignment horizontal="right" vertical="center"/>
      <protection locked="0"/>
    </xf>
    <xf numFmtId="3" fontId="43" fillId="0" borderId="110" xfId="12" applyNumberFormat="1" applyFont="1" applyFill="1" applyBorder="1" applyAlignment="1" applyProtection="1">
      <alignment horizontal="right" vertical="center"/>
      <protection locked="0"/>
    </xf>
    <xf numFmtId="49" fontId="61" fillId="18" borderId="111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12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13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114" xfId="12" applyNumberFormat="1" applyFont="1" applyFill="1" applyBorder="1" applyAlignment="1" applyProtection="1">
      <alignment horizontal="right" vertical="center"/>
      <protection locked="0"/>
    </xf>
    <xf numFmtId="49" fontId="43" fillId="0" borderId="9" xfId="12" applyNumberFormat="1" applyFont="1" applyFill="1" applyBorder="1" applyAlignment="1" applyProtection="1">
      <alignment horizontal="center" vertical="center" wrapText="1"/>
      <protection locked="0"/>
    </xf>
    <xf numFmtId="3" fontId="41" fillId="0" borderId="105" xfId="12" applyNumberFormat="1" applyFont="1" applyFill="1" applyBorder="1" applyAlignment="1" applyProtection="1">
      <alignment horizontal="right" vertical="center"/>
      <protection locked="0"/>
    </xf>
    <xf numFmtId="49" fontId="43" fillId="16" borderId="11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0" xfId="12" applyNumberFormat="1" applyFont="1" applyFill="1" applyBorder="1" applyAlignment="1" applyProtection="1">
      <alignment vertical="center" wrapText="1"/>
      <protection locked="0"/>
    </xf>
    <xf numFmtId="49" fontId="43" fillId="16" borderId="105" xfId="12" applyNumberFormat="1" applyFont="1" applyFill="1" applyBorder="1" applyAlignment="1" applyProtection="1">
      <alignment vertical="center" wrapText="1"/>
      <protection locked="0"/>
    </xf>
    <xf numFmtId="49" fontId="43" fillId="16" borderId="11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2" xfId="12" applyNumberFormat="1" applyFont="1" applyFill="1" applyBorder="1" applyAlignment="1" applyProtection="1">
      <alignment horizontal="right" vertical="center"/>
      <protection locked="0"/>
    </xf>
    <xf numFmtId="49" fontId="43" fillId="16" borderId="12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6" xfId="12" applyNumberFormat="1" applyFont="1" applyFill="1" applyBorder="1" applyAlignment="1" applyProtection="1">
      <alignment horizontal="right" vertical="center"/>
      <protection locked="0"/>
    </xf>
    <xf numFmtId="4" fontId="43" fillId="0" borderId="126" xfId="12" applyNumberFormat="1" applyFont="1" applyFill="1" applyBorder="1" applyAlignment="1" applyProtection="1">
      <alignment horizontal="right" vertical="center"/>
      <protection locked="0"/>
    </xf>
    <xf numFmtId="49" fontId="43" fillId="16" borderId="12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8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126" xfId="12" applyNumberFormat="1" applyFont="1" applyFill="1" applyBorder="1" applyAlignment="1" applyProtection="1">
      <alignment horizontal="right" vertical="center"/>
      <protection locked="0"/>
    </xf>
    <xf numFmtId="49" fontId="43" fillId="16" borderId="12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30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0" xfId="11" applyFont="1" applyAlignment="1">
      <alignment vertical="center"/>
    </xf>
    <xf numFmtId="0" fontId="89" fillId="0" borderId="9" xfId="11" applyFont="1" applyBorder="1" applyAlignment="1">
      <alignment vertical="center"/>
    </xf>
    <xf numFmtId="49" fontId="43" fillId="16" borderId="132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21" xfId="12" applyNumberFormat="1" applyFont="1" applyFill="1" applyBorder="1" applyAlignment="1" applyProtection="1">
      <alignment horizontal="right" vertical="center"/>
      <protection locked="0"/>
    </xf>
    <xf numFmtId="3" fontId="43" fillId="0" borderId="47" xfId="12" applyNumberFormat="1" applyFont="1" applyFill="1" applyBorder="1" applyAlignment="1" applyProtection="1">
      <alignment horizontal="right" vertical="center"/>
      <protection locked="0"/>
    </xf>
    <xf numFmtId="49" fontId="43" fillId="16" borderId="13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3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1" xfId="12" applyNumberFormat="1" applyFont="1" applyFill="1" applyBorder="1" applyAlignment="1" applyProtection="1">
      <alignment vertical="center" wrapText="1"/>
      <protection locked="0"/>
    </xf>
    <xf numFmtId="3" fontId="43" fillId="16" borderId="9" xfId="12" applyNumberFormat="1" applyFont="1" applyFill="1" applyBorder="1" applyAlignment="1" applyProtection="1">
      <alignment horizontal="right" vertical="center" wrapText="1"/>
      <protection locked="0"/>
    </xf>
    <xf numFmtId="3" fontId="43" fillId="16" borderId="21" xfId="12" applyNumberFormat="1" applyFont="1" applyFill="1" applyBorder="1" applyAlignment="1" applyProtection="1">
      <alignment horizontal="right" vertical="center" wrapText="1"/>
      <protection locked="0"/>
    </xf>
    <xf numFmtId="3" fontId="40" fillId="0" borderId="138" xfId="12" applyNumberFormat="1" applyFont="1" applyFill="1" applyBorder="1" applyAlignment="1" applyProtection="1">
      <alignment horizontal="right" vertical="center"/>
      <protection locked="0"/>
    </xf>
    <xf numFmtId="4" fontId="43" fillId="0" borderId="138" xfId="12" applyNumberFormat="1" applyFont="1" applyFill="1" applyBorder="1" applyAlignment="1" applyProtection="1">
      <alignment horizontal="right" vertical="center"/>
      <protection locked="0"/>
    </xf>
    <xf numFmtId="3" fontId="43" fillId="0" borderId="138" xfId="12" applyNumberFormat="1" applyFont="1" applyFill="1" applyBorder="1" applyAlignment="1" applyProtection="1">
      <alignment horizontal="right" vertical="center"/>
      <protection locked="0"/>
    </xf>
    <xf numFmtId="3" fontId="43" fillId="0" borderId="139" xfId="12" applyNumberFormat="1" applyFont="1" applyFill="1" applyBorder="1" applyAlignment="1" applyProtection="1">
      <alignment horizontal="right" vertical="center"/>
      <protection locked="0"/>
    </xf>
    <xf numFmtId="49" fontId="43" fillId="16" borderId="14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4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4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4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44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109" xfId="11" applyFont="1" applyBorder="1" applyAlignment="1">
      <alignment horizontal="left" vertical="center" wrapText="1"/>
    </xf>
    <xf numFmtId="3" fontId="43" fillId="0" borderId="145" xfId="12" applyNumberFormat="1" applyFont="1" applyFill="1" applyBorder="1" applyAlignment="1" applyProtection="1">
      <alignment horizontal="right" vertical="center"/>
      <protection locked="0"/>
    </xf>
    <xf numFmtId="10" fontId="43" fillId="0" borderId="10" xfId="12" applyNumberFormat="1" applyFont="1" applyFill="1" applyBorder="1" applyAlignment="1" applyProtection="1">
      <alignment horizontal="right" vertical="center"/>
      <protection locked="0"/>
    </xf>
    <xf numFmtId="49" fontId="61" fillId="18" borderId="8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46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47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8" xfId="12" applyNumberFormat="1" applyFont="1" applyFill="1" applyBorder="1" applyAlignment="1" applyProtection="1">
      <alignment horizontal="right" vertical="center"/>
      <protection locked="0"/>
    </xf>
    <xf numFmtId="3" fontId="61" fillId="6" borderId="2" xfId="12" applyNumberFormat="1" applyFont="1" applyFill="1" applyBorder="1" applyAlignment="1" applyProtection="1">
      <alignment horizontal="right" vertical="center"/>
      <protection locked="0"/>
    </xf>
    <xf numFmtId="4" fontId="61" fillId="6" borderId="8" xfId="12" applyNumberFormat="1" applyFont="1" applyFill="1" applyBorder="1" applyAlignment="1" applyProtection="1">
      <alignment horizontal="right" vertical="center"/>
      <protection locked="0"/>
    </xf>
    <xf numFmtId="10" fontId="61" fillId="6" borderId="8" xfId="12" applyNumberFormat="1" applyFont="1" applyFill="1" applyBorder="1" applyAlignment="1" applyProtection="1">
      <alignment horizontal="right" vertical="center"/>
      <protection locked="0"/>
    </xf>
    <xf numFmtId="0" fontId="89" fillId="4" borderId="148" xfId="11" applyFont="1" applyFill="1" applyBorder="1" applyAlignment="1">
      <alignment vertical="center" wrapText="1"/>
    </xf>
    <xf numFmtId="3" fontId="40" fillId="0" borderId="33" xfId="12" applyNumberFormat="1" applyFont="1" applyFill="1" applyBorder="1" applyAlignment="1" applyProtection="1">
      <alignment horizontal="right" vertical="center"/>
      <protection locked="0"/>
    </xf>
    <xf numFmtId="3" fontId="40" fillId="0" borderId="151" xfId="12" applyNumberFormat="1" applyFont="1" applyFill="1" applyBorder="1" applyAlignment="1" applyProtection="1">
      <alignment horizontal="right" vertical="center"/>
      <protection locked="0"/>
    </xf>
    <xf numFmtId="4" fontId="40" fillId="0" borderId="33" xfId="12" applyNumberFormat="1" applyFont="1" applyFill="1" applyBorder="1" applyAlignment="1" applyProtection="1">
      <alignment horizontal="right" vertical="center"/>
      <protection locked="0"/>
    </xf>
    <xf numFmtId="0" fontId="89" fillId="4" borderId="9" xfId="11" applyFont="1" applyFill="1" applyBorder="1" applyAlignment="1">
      <alignment vertical="center" wrapText="1"/>
    </xf>
    <xf numFmtId="3" fontId="43" fillId="0" borderId="153" xfId="12" applyNumberFormat="1" applyFont="1" applyFill="1" applyBorder="1" applyAlignment="1" applyProtection="1">
      <alignment horizontal="right" vertical="center"/>
      <protection locked="0"/>
    </xf>
    <xf numFmtId="3" fontId="43" fillId="0" borderId="143" xfId="12" applyNumberFormat="1" applyFont="1" applyFill="1" applyBorder="1" applyAlignment="1" applyProtection="1">
      <alignment horizontal="right" vertical="center"/>
      <protection locked="0"/>
    </xf>
    <xf numFmtId="49" fontId="43" fillId="0" borderId="154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155" xfId="12" applyNumberFormat="1" applyFont="1" applyFill="1" applyBorder="1" applyAlignment="1" applyProtection="1">
      <alignment horizontal="left" vertical="center" wrapText="1"/>
      <protection locked="0"/>
    </xf>
    <xf numFmtId="0" fontId="89" fillId="4" borderId="13" xfId="11" applyFont="1" applyFill="1" applyBorder="1" applyAlignment="1">
      <alignment vertical="center" wrapText="1"/>
    </xf>
    <xf numFmtId="49" fontId="43" fillId="0" borderId="156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1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2" xfId="12" applyNumberFormat="1" applyFont="1" applyFill="1" applyBorder="1" applyAlignment="1" applyProtection="1">
      <alignment horizontal="right" vertical="center"/>
      <protection locked="0"/>
    </xf>
    <xf numFmtId="3" fontId="43" fillId="0" borderId="22" xfId="12" applyNumberFormat="1" applyFont="1" applyFill="1" applyBorder="1" applyAlignment="1" applyProtection="1">
      <alignment horizontal="right" vertical="center"/>
      <protection locked="0"/>
    </xf>
    <xf numFmtId="4" fontId="43" fillId="0" borderId="26" xfId="12" applyNumberFormat="1" applyFont="1" applyFill="1" applyBorder="1" applyAlignment="1" applyProtection="1">
      <alignment horizontal="right" vertical="center"/>
      <protection locked="0"/>
    </xf>
    <xf numFmtId="49" fontId="43" fillId="0" borderId="53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3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4" xfId="12" applyNumberFormat="1" applyFont="1" applyFill="1" applyBorder="1" applyAlignment="1" applyProtection="1">
      <alignment horizontal="right" vertical="center"/>
      <protection locked="0"/>
    </xf>
    <xf numFmtId="3" fontId="43" fillId="0" borderId="34" xfId="12" applyNumberFormat="1" applyFont="1" applyFill="1" applyBorder="1" applyAlignment="1" applyProtection="1">
      <alignment horizontal="right" vertical="center"/>
      <protection locked="0"/>
    </xf>
    <xf numFmtId="49" fontId="43" fillId="0" borderId="39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2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57" xfId="12" applyNumberFormat="1" applyFont="1" applyFill="1" applyBorder="1" applyAlignment="1" applyProtection="1">
      <alignment horizontal="right" vertical="center"/>
      <protection locked="0"/>
    </xf>
    <xf numFmtId="10" fontId="43" fillId="0" borderId="27" xfId="12" applyNumberFormat="1" applyFont="1" applyFill="1" applyBorder="1" applyAlignment="1" applyProtection="1">
      <alignment horizontal="right" vertical="center"/>
      <protection locked="0"/>
    </xf>
    <xf numFmtId="49" fontId="43" fillId="0" borderId="158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41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21" xfId="12" applyNumberFormat="1" applyFont="1" applyFill="1" applyBorder="1" applyAlignment="1" applyProtection="1">
      <alignment horizontal="right" vertical="center"/>
      <protection locked="0"/>
    </xf>
    <xf numFmtId="49" fontId="43" fillId="16" borderId="15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3" xfId="12" applyNumberFormat="1" applyFont="1" applyFill="1" applyBorder="1" applyAlignment="1" applyProtection="1">
      <alignment horizontal="right" vertical="center"/>
      <protection locked="0"/>
    </xf>
    <xf numFmtId="3" fontId="43" fillId="0" borderId="151" xfId="12" applyNumberFormat="1" applyFont="1" applyFill="1" applyBorder="1" applyAlignment="1" applyProtection="1">
      <alignment horizontal="right" vertical="center"/>
      <protection locked="0"/>
    </xf>
    <xf numFmtId="49" fontId="43" fillId="16" borderId="16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6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6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63" xfId="12" applyNumberFormat="1" applyFont="1" applyFill="1" applyBorder="1" applyAlignment="1" applyProtection="1">
      <alignment horizontal="right" vertical="center"/>
      <protection locked="0"/>
    </xf>
    <xf numFmtId="49" fontId="43" fillId="16" borderId="16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6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66" xfId="12" applyNumberFormat="1" applyFont="1" applyFill="1" applyBorder="1" applyAlignment="1" applyProtection="1">
      <alignment horizontal="right" vertical="center"/>
      <protection locked="0"/>
    </xf>
    <xf numFmtId="10" fontId="43" fillId="0" borderId="167" xfId="12" applyNumberFormat="1" applyFont="1" applyFill="1" applyBorder="1" applyAlignment="1" applyProtection="1">
      <alignment horizontal="right" vertical="center"/>
      <protection locked="0"/>
    </xf>
    <xf numFmtId="49" fontId="43" fillId="16" borderId="16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6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70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35" xfId="12" applyNumberFormat="1" applyFont="1" applyFill="1" applyBorder="1" applyAlignment="1" applyProtection="1">
      <alignment horizontal="right" vertical="center"/>
      <protection locked="0"/>
    </xf>
    <xf numFmtId="3" fontId="43" fillId="0" borderId="20" xfId="12" applyNumberFormat="1" applyFont="1" applyFill="1" applyBorder="1" applyAlignment="1" applyProtection="1">
      <alignment horizontal="right" vertical="center"/>
      <protection locked="0"/>
    </xf>
    <xf numFmtId="4" fontId="43" fillId="0" borderId="18" xfId="12" applyNumberFormat="1" applyFont="1" applyFill="1" applyBorder="1" applyAlignment="1" applyProtection="1">
      <alignment horizontal="right" vertical="center"/>
      <protection locked="0"/>
    </xf>
    <xf numFmtId="49" fontId="43" fillId="16" borderId="17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7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73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9" xfId="12" applyNumberFormat="1" applyFont="1" applyFill="1" applyBorder="1" applyAlignment="1" applyProtection="1">
      <alignment vertical="center" wrapText="1"/>
      <protection locked="0"/>
    </xf>
    <xf numFmtId="10" fontId="40" fillId="0" borderId="167" xfId="12" applyNumberFormat="1" applyFont="1" applyFill="1" applyBorder="1" applyAlignment="1" applyProtection="1">
      <alignment horizontal="right" vertical="center"/>
      <protection locked="0"/>
    </xf>
    <xf numFmtId="3" fontId="41" fillId="0" borderId="21" xfId="12" applyNumberFormat="1" applyFont="1" applyFill="1" applyBorder="1" applyAlignment="1" applyProtection="1">
      <alignment horizontal="right" vertical="center"/>
      <protection locked="0"/>
    </xf>
    <xf numFmtId="4" fontId="41" fillId="0" borderId="21" xfId="12" applyNumberFormat="1" applyFont="1" applyFill="1" applyBorder="1" applyAlignment="1" applyProtection="1">
      <alignment horizontal="right" vertical="center"/>
      <protection locked="0"/>
    </xf>
    <xf numFmtId="10" fontId="41" fillId="0" borderId="167" xfId="12" applyNumberFormat="1" applyFont="1" applyFill="1" applyBorder="1" applyAlignment="1" applyProtection="1">
      <alignment horizontal="right" vertical="center"/>
      <protection locked="0"/>
    </xf>
    <xf numFmtId="49" fontId="43" fillId="16" borderId="17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7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7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7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81" xfId="12" applyNumberFormat="1" applyFont="1" applyFill="1" applyBorder="1" applyAlignment="1" applyProtection="1">
      <alignment horizontal="right" vertical="center"/>
      <protection locked="0"/>
    </xf>
    <xf numFmtId="3" fontId="40" fillId="0" borderId="21" xfId="12" applyNumberFormat="1" applyFont="1" applyFill="1" applyBorder="1" applyAlignment="1" applyProtection="1">
      <alignment horizontal="right" vertical="center"/>
      <protection locked="0"/>
    </xf>
    <xf numFmtId="4" fontId="40" fillId="0" borderId="21" xfId="12" applyNumberFormat="1" applyFont="1" applyFill="1" applyBorder="1" applyAlignment="1" applyProtection="1">
      <alignment horizontal="right" vertical="center"/>
      <protection locked="0"/>
    </xf>
    <xf numFmtId="49" fontId="43" fillId="0" borderId="13" xfId="12" applyNumberFormat="1" applyFont="1" applyFill="1" applyBorder="1" applyAlignment="1" applyProtection="1">
      <alignment vertical="center" wrapText="1"/>
      <protection locked="0"/>
    </xf>
    <xf numFmtId="3" fontId="43" fillId="0" borderId="58" xfId="12" applyNumberFormat="1" applyFont="1" applyFill="1" applyBorder="1" applyAlignment="1" applyProtection="1">
      <alignment horizontal="right" vertical="center"/>
      <protection locked="0"/>
    </xf>
    <xf numFmtId="49" fontId="43" fillId="0" borderId="15" xfId="12" applyNumberFormat="1" applyFont="1" applyFill="1" applyBorder="1" applyAlignment="1" applyProtection="1">
      <alignment vertical="center" wrapText="1"/>
      <protection locked="0"/>
    </xf>
    <xf numFmtId="49" fontId="61" fillId="18" borderId="13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82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83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13" xfId="12" applyNumberFormat="1" applyFont="1" applyFill="1" applyBorder="1" applyAlignment="1" applyProtection="1">
      <alignment horizontal="right" vertical="center"/>
      <protection locked="0"/>
    </xf>
    <xf numFmtId="3" fontId="43" fillId="0" borderId="0" xfId="12" applyNumberFormat="1" applyFont="1" applyFill="1" applyBorder="1" applyAlignment="1" applyProtection="1">
      <alignment horizontal="left" vertical="center"/>
      <protection locked="0"/>
    </xf>
    <xf numFmtId="3" fontId="43" fillId="0" borderId="184" xfId="12" applyNumberFormat="1" applyFont="1" applyFill="1" applyBorder="1" applyAlignment="1" applyProtection="1">
      <alignment horizontal="right" vertical="center"/>
      <protection locked="0"/>
    </xf>
    <xf numFmtId="3" fontId="41" fillId="0" borderId="184" xfId="12" applyNumberFormat="1" applyFont="1" applyFill="1" applyBorder="1" applyAlignment="1" applyProtection="1">
      <alignment horizontal="right" vertical="center"/>
      <protection locked="0"/>
    </xf>
    <xf numFmtId="49" fontId="43" fillId="0" borderId="175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176" xfId="11" applyFont="1" applyBorder="1" applyAlignment="1">
      <alignment vertical="center" wrapText="1"/>
    </xf>
    <xf numFmtId="49" fontId="43" fillId="0" borderId="174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185" xfId="11" applyFont="1" applyBorder="1" applyAlignment="1">
      <alignment vertical="center" wrapText="1"/>
    </xf>
    <xf numFmtId="3" fontId="43" fillId="0" borderId="186" xfId="12" applyNumberFormat="1" applyFont="1" applyFill="1" applyBorder="1" applyAlignment="1" applyProtection="1">
      <alignment horizontal="right" vertical="center"/>
      <protection locked="0"/>
    </xf>
    <xf numFmtId="4" fontId="43" fillId="0" borderId="186" xfId="12" applyNumberFormat="1" applyFont="1" applyFill="1" applyBorder="1" applyAlignment="1" applyProtection="1">
      <alignment horizontal="right" vertical="center"/>
      <protection locked="0"/>
    </xf>
    <xf numFmtId="49" fontId="43" fillId="0" borderId="187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174" xfId="11" applyFont="1" applyBorder="1" applyAlignment="1">
      <alignment vertical="center" wrapText="1"/>
    </xf>
    <xf numFmtId="3" fontId="41" fillId="0" borderId="25" xfId="12" applyNumberFormat="1" applyFont="1" applyFill="1" applyBorder="1" applyAlignment="1" applyProtection="1">
      <alignment horizontal="right" vertical="center"/>
      <protection locked="0"/>
    </xf>
    <xf numFmtId="49" fontId="43" fillId="16" borderId="18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7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74" xfId="12" applyNumberFormat="1" applyFont="1" applyFill="1" applyBorder="1" applyAlignment="1" applyProtection="1">
      <alignment vertical="center" wrapText="1"/>
      <protection locked="0"/>
    </xf>
    <xf numFmtId="49" fontId="43" fillId="16" borderId="188" xfId="12" applyNumberFormat="1" applyFont="1" applyFill="1" applyBorder="1" applyAlignment="1" applyProtection="1">
      <alignment vertical="center" wrapText="1"/>
      <protection locked="0"/>
    </xf>
    <xf numFmtId="3" fontId="43" fillId="0" borderId="13" xfId="12" applyNumberFormat="1" applyFont="1" applyFill="1" applyBorder="1" applyAlignment="1" applyProtection="1">
      <alignment horizontal="right" vertical="center"/>
      <protection locked="0"/>
    </xf>
    <xf numFmtId="4" fontId="43" fillId="0" borderId="13" xfId="12" applyNumberFormat="1" applyFont="1" applyFill="1" applyBorder="1" applyAlignment="1" applyProtection="1">
      <alignment horizontal="right" vertical="center"/>
      <protection locked="0"/>
    </xf>
    <xf numFmtId="49" fontId="43" fillId="16" borderId="18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0" xfId="12" applyNumberFormat="1" applyFont="1" applyFill="1" applyBorder="1" applyAlignment="1" applyProtection="1">
      <alignment horizontal="right" vertical="center"/>
      <protection locked="0"/>
    </xf>
    <xf numFmtId="4" fontId="43" fillId="0" borderId="9" xfId="12" applyNumberFormat="1" applyFont="1" applyFill="1" applyBorder="1" applyAlignment="1" applyProtection="1">
      <alignment horizontal="right" vertical="center"/>
      <protection locked="0"/>
    </xf>
    <xf numFmtId="49" fontId="40" fillId="17" borderId="2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8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46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47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8" xfId="12" applyNumberFormat="1" applyFont="1" applyFill="1" applyBorder="1" applyAlignment="1" applyProtection="1">
      <alignment horizontal="right" vertical="center"/>
      <protection locked="0"/>
    </xf>
    <xf numFmtId="3" fontId="40" fillId="13" borderId="2" xfId="12" applyNumberFormat="1" applyFont="1" applyFill="1" applyBorder="1" applyAlignment="1" applyProtection="1">
      <alignment horizontal="right" vertical="center"/>
      <protection locked="0"/>
    </xf>
    <xf numFmtId="4" fontId="40" fillId="13" borderId="8" xfId="12" applyNumberFormat="1" applyFont="1" applyFill="1" applyBorder="1" applyAlignment="1" applyProtection="1">
      <alignment horizontal="right" vertical="center"/>
      <protection locked="0"/>
    </xf>
    <xf numFmtId="10" fontId="40" fillId="13" borderId="8" xfId="12" applyNumberFormat="1" applyFont="1" applyFill="1" applyBorder="1" applyAlignment="1" applyProtection="1">
      <alignment horizontal="right" vertical="center"/>
      <protection locked="0"/>
    </xf>
    <xf numFmtId="2" fontId="43" fillId="0" borderId="7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9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91" xfId="12" applyNumberFormat="1" applyFont="1" applyFill="1" applyBorder="1" applyAlignment="1" applyProtection="1">
      <alignment horizontal="right" vertical="center"/>
      <protection locked="0"/>
    </xf>
    <xf numFmtId="4" fontId="43" fillId="0" borderId="192" xfId="12" applyNumberFormat="1" applyFont="1" applyFill="1" applyBorder="1" applyAlignment="1" applyProtection="1">
      <alignment horizontal="right" vertical="center"/>
      <protection locked="0"/>
    </xf>
    <xf numFmtId="49" fontId="43" fillId="16" borderId="193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94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9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96" xfId="12" applyNumberFormat="1" applyFont="1" applyFill="1" applyBorder="1" applyAlignment="1" applyProtection="1">
      <alignment horizontal="right" vertical="center"/>
      <protection locked="0"/>
    </xf>
    <xf numFmtId="3" fontId="43" fillId="0" borderId="197" xfId="12" applyNumberFormat="1" applyFont="1" applyFill="1" applyBorder="1" applyAlignment="1" applyProtection="1">
      <alignment horizontal="right" vertical="center"/>
      <protection locked="0"/>
    </xf>
    <xf numFmtId="49" fontId="43" fillId="16" borderId="19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9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92" xfId="12" applyNumberFormat="1" applyFont="1" applyFill="1" applyBorder="1" applyAlignment="1" applyProtection="1">
      <alignment horizontal="right" vertical="center"/>
      <protection locked="0"/>
    </xf>
    <xf numFmtId="49" fontId="43" fillId="16" borderId="20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0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02" xfId="12" applyNumberFormat="1" applyFont="1" applyFill="1" applyBorder="1" applyAlignment="1" applyProtection="1">
      <alignment vertical="center" wrapText="1"/>
      <protection locked="0"/>
    </xf>
    <xf numFmtId="49" fontId="43" fillId="16" borderId="163" xfId="12" applyNumberFormat="1" applyFont="1" applyFill="1" applyBorder="1" applyAlignment="1" applyProtection="1">
      <alignment vertical="center" wrapText="1"/>
      <protection locked="0"/>
    </xf>
    <xf numFmtId="3" fontId="43" fillId="16" borderId="15" xfId="12" applyNumberFormat="1" applyFont="1" applyFill="1" applyBorder="1" applyAlignment="1" applyProtection="1">
      <alignment horizontal="right" vertical="center" wrapText="1"/>
      <protection locked="0"/>
    </xf>
    <xf numFmtId="3" fontId="43" fillId="16" borderId="23" xfId="12" applyNumberFormat="1" applyFont="1" applyFill="1" applyBorder="1" applyAlignment="1" applyProtection="1">
      <alignment horizontal="right" vertical="center" wrapText="1"/>
      <protection locked="0"/>
    </xf>
    <xf numFmtId="4" fontId="43" fillId="16" borderId="15" xfId="12" applyNumberFormat="1" applyFont="1" applyFill="1" applyBorder="1" applyAlignment="1" applyProtection="1">
      <alignment horizontal="right" vertical="center" wrapText="1"/>
      <protection locked="0"/>
    </xf>
    <xf numFmtId="3" fontId="43" fillId="16" borderId="186" xfId="12" applyNumberFormat="1" applyFont="1" applyFill="1" applyBorder="1" applyAlignment="1" applyProtection="1">
      <alignment horizontal="right" vertical="center" wrapText="1"/>
      <protection locked="0"/>
    </xf>
    <xf numFmtId="49" fontId="43" fillId="0" borderId="13" xfId="12" applyNumberFormat="1" applyFont="1" applyFill="1" applyBorder="1" applyAlignment="1" applyProtection="1">
      <alignment horizontal="center" vertical="center" wrapText="1"/>
      <protection locked="0"/>
    </xf>
    <xf numFmtId="3" fontId="43" fillId="16" borderId="26" xfId="12" applyNumberFormat="1" applyFont="1" applyFill="1" applyBorder="1" applyAlignment="1" applyProtection="1">
      <alignment horizontal="right" vertical="center" wrapText="1"/>
      <protection locked="0"/>
    </xf>
    <xf numFmtId="49" fontId="43" fillId="16" borderId="203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4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94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95" xfId="11" applyFont="1" applyBorder="1" applyAlignment="1">
      <alignment vertical="center" wrapText="1"/>
    </xf>
    <xf numFmtId="3" fontId="43" fillId="16" borderId="33" xfId="12" applyNumberFormat="1" applyFont="1" applyFill="1" applyBorder="1" applyAlignment="1" applyProtection="1">
      <alignment horizontal="right" vertical="center" wrapText="1"/>
      <protection locked="0"/>
    </xf>
    <xf numFmtId="3" fontId="43" fillId="0" borderId="204" xfId="12" applyNumberFormat="1" applyFont="1" applyFill="1" applyBorder="1" applyAlignment="1" applyProtection="1">
      <alignment horizontal="right" vertical="center"/>
      <protection locked="0"/>
    </xf>
    <xf numFmtId="49" fontId="43" fillId="0" borderId="96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97" xfId="11" applyFont="1" applyBorder="1" applyAlignment="1">
      <alignment vertical="center" wrapText="1"/>
    </xf>
    <xf numFmtId="49" fontId="43" fillId="16" borderId="205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202" xfId="12" applyNumberFormat="1" applyFont="1" applyFill="1" applyBorder="1" applyAlignment="1" applyProtection="1">
      <alignment horizontal="right" vertical="center"/>
      <protection locked="0"/>
    </xf>
    <xf numFmtId="49" fontId="43" fillId="16" borderId="15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07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88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75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7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74" xfId="12" applyNumberFormat="1" applyFont="1" applyFill="1" applyBorder="1" applyAlignment="1" applyProtection="1">
      <alignment horizontal="center" vertical="center" wrapText="1"/>
      <protection locked="0"/>
    </xf>
    <xf numFmtId="3" fontId="41" fillId="0" borderId="202" xfId="12" applyNumberFormat="1" applyFont="1" applyFill="1" applyBorder="1" applyAlignment="1" applyProtection="1">
      <alignment horizontal="right" vertical="center"/>
      <protection locked="0"/>
    </xf>
    <xf numFmtId="49" fontId="43" fillId="16" borderId="185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208" xfId="12" applyNumberFormat="1" applyFont="1" applyFill="1" applyBorder="1" applyAlignment="1" applyProtection="1">
      <alignment horizontal="right" vertical="center"/>
      <protection locked="0"/>
    </xf>
    <xf numFmtId="49" fontId="43" fillId="0" borderId="17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06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20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67" xfId="12" applyNumberFormat="1" applyFont="1" applyFill="1" applyBorder="1" applyAlignment="1" applyProtection="1">
      <alignment horizontal="right" vertical="center"/>
      <protection locked="0"/>
    </xf>
    <xf numFmtId="49" fontId="43" fillId="16" borderId="21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6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3" xfId="12" applyNumberFormat="1" applyFont="1" applyFill="1" applyBorder="1" applyAlignment="1" applyProtection="1">
      <alignment vertical="center" wrapText="1"/>
      <protection locked="0"/>
    </xf>
    <xf numFmtId="49" fontId="43" fillId="16" borderId="166" xfId="12" applyNumberFormat="1" applyFont="1" applyFill="1" applyBorder="1" applyAlignment="1" applyProtection="1">
      <alignment vertical="center" wrapText="1"/>
      <protection locked="0"/>
    </xf>
    <xf numFmtId="49" fontId="43" fillId="16" borderId="15" xfId="12" applyNumberFormat="1" applyFont="1" applyFill="1" applyBorder="1" applyAlignment="1" applyProtection="1">
      <alignment vertical="center" wrapText="1"/>
      <protection locked="0"/>
    </xf>
    <xf numFmtId="49" fontId="43" fillId="0" borderId="211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7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12" xfId="12" applyNumberFormat="1" applyFont="1" applyFill="1" applyBorder="1" applyAlignment="1" applyProtection="1">
      <alignment horizontal="right" vertical="center"/>
      <protection locked="0"/>
    </xf>
    <xf numFmtId="49" fontId="43" fillId="16" borderId="18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13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186" xfId="12" applyNumberFormat="1" applyFont="1" applyFill="1" applyBorder="1" applyAlignment="1" applyProtection="1">
      <alignment horizontal="right" vertical="center"/>
      <protection locked="0"/>
    </xf>
    <xf numFmtId="3" fontId="40" fillId="0" borderId="184" xfId="12" applyNumberFormat="1" applyFont="1" applyFill="1" applyBorder="1" applyAlignment="1" applyProtection="1">
      <alignment horizontal="right" vertical="center"/>
      <protection locked="0"/>
    </xf>
    <xf numFmtId="4" fontId="40" fillId="0" borderId="186" xfId="12" applyNumberFormat="1" applyFont="1" applyFill="1" applyBorder="1" applyAlignment="1" applyProtection="1">
      <alignment horizontal="right" vertical="center"/>
      <protection locked="0"/>
    </xf>
    <xf numFmtId="49" fontId="43" fillId="16" borderId="1" xfId="12" applyNumberFormat="1" applyFont="1" applyFill="1" applyBorder="1" applyAlignment="1" applyProtection="1">
      <alignment vertical="center" wrapText="1"/>
      <protection locked="0"/>
    </xf>
    <xf numFmtId="0" fontId="89" fillId="0" borderId="1" xfId="11" applyFont="1" applyBorder="1" applyAlignment="1">
      <alignment vertical="center"/>
    </xf>
    <xf numFmtId="0" fontId="89" fillId="0" borderId="13" xfId="11" applyFont="1" applyBorder="1" applyAlignment="1">
      <alignment vertical="center"/>
    </xf>
    <xf numFmtId="0" fontId="89" fillId="0" borderId="9" xfId="11" applyFont="1" applyBorder="1" applyAlignment="1">
      <alignment vertical="center" wrapText="1"/>
    </xf>
    <xf numFmtId="49" fontId="43" fillId="16" borderId="214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8" xfId="12" applyNumberFormat="1" applyFont="1" applyFill="1" applyBorder="1" applyAlignment="1" applyProtection="1">
      <alignment horizontal="left" vertical="center" wrapText="1"/>
      <protection locked="0"/>
    </xf>
    <xf numFmtId="10" fontId="61" fillId="6" borderId="148" xfId="12" applyNumberFormat="1" applyFont="1" applyFill="1" applyBorder="1" applyAlignment="1" applyProtection="1">
      <alignment horizontal="right" vertical="center"/>
      <protection locked="0"/>
    </xf>
    <xf numFmtId="49" fontId="61" fillId="19" borderId="9" xfId="12" applyNumberFormat="1" applyFont="1" applyFill="1" applyBorder="1" applyAlignment="1" applyProtection="1">
      <alignment horizontal="center" vertical="center" wrapText="1"/>
      <protection locked="0"/>
    </xf>
    <xf numFmtId="10" fontId="40" fillId="0" borderId="21" xfId="12" applyNumberFormat="1" applyFont="1" applyFill="1" applyBorder="1" applyAlignment="1" applyProtection="1">
      <alignment horizontal="right" vertical="center"/>
      <protection locked="0"/>
    </xf>
    <xf numFmtId="49" fontId="43" fillId="16" borderId="20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7" xfId="12" applyNumberFormat="1" applyFont="1" applyFill="1" applyBorder="1" applyAlignment="1" applyProtection="1">
      <alignment horizontal="right" vertical="center"/>
      <protection locked="0"/>
    </xf>
    <xf numFmtId="0" fontId="89" fillId="0" borderId="9" xfId="11" applyFont="1" applyBorder="1" applyAlignment="1">
      <alignment horizontal="center" vertical="center" wrapText="1"/>
    </xf>
    <xf numFmtId="0" fontId="89" fillId="0" borderId="13" xfId="11" applyFont="1" applyBorder="1" applyAlignment="1">
      <alignment horizontal="center" vertical="center" wrapText="1"/>
    </xf>
    <xf numFmtId="49" fontId="43" fillId="16" borderId="21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5" xfId="12" applyNumberFormat="1" applyFont="1" applyFill="1" applyBorder="1" applyAlignment="1" applyProtection="1">
      <alignment horizontal="right" vertical="center"/>
      <protection locked="0"/>
    </xf>
    <xf numFmtId="2" fontId="43" fillId="0" borderId="169" xfId="12" applyNumberFormat="1" applyFont="1" applyFill="1" applyBorder="1" applyAlignment="1" applyProtection="1">
      <alignment horizontal="left" vertical="center" wrapText="1"/>
      <protection locked="0"/>
    </xf>
    <xf numFmtId="3" fontId="40" fillId="6" borderId="8" xfId="12" applyNumberFormat="1" applyFont="1" applyFill="1" applyBorder="1" applyAlignment="1" applyProtection="1">
      <alignment horizontal="right" vertical="center"/>
      <protection locked="0"/>
    </xf>
    <xf numFmtId="49" fontId="43" fillId="16" borderId="166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78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9" xfId="12" applyNumberFormat="1" applyFont="1" applyFill="1" applyBorder="1" applyAlignment="1" applyProtection="1">
      <alignment horizontal="right" vertical="center"/>
      <protection locked="0"/>
    </xf>
    <xf numFmtId="3" fontId="40" fillId="0" borderId="14" xfId="12" applyNumberFormat="1" applyFont="1" applyFill="1" applyBorder="1" applyAlignment="1" applyProtection="1">
      <alignment horizontal="right" vertical="center"/>
      <protection locked="0"/>
    </xf>
    <xf numFmtId="4" fontId="40" fillId="0" borderId="9" xfId="12" applyNumberFormat="1" applyFont="1" applyFill="1" applyBorder="1" applyAlignment="1" applyProtection="1">
      <alignment horizontal="right" vertical="center"/>
      <protection locked="0"/>
    </xf>
    <xf numFmtId="3" fontId="43" fillId="0" borderId="26" xfId="12" applyNumberFormat="1" applyFont="1" applyFill="1" applyBorder="1" applyAlignment="1" applyProtection="1">
      <alignment horizontal="right" vertical="center" wrapText="1"/>
      <protection locked="0"/>
    </xf>
    <xf numFmtId="4" fontId="43" fillId="0" borderId="26" xfId="12" applyNumberFormat="1" applyFont="1" applyFill="1" applyBorder="1" applyAlignment="1" applyProtection="1">
      <alignment horizontal="right" vertical="center" wrapText="1"/>
      <protection locked="0"/>
    </xf>
    <xf numFmtId="3" fontId="43" fillId="0" borderId="217" xfId="12" applyNumberFormat="1" applyFont="1" applyFill="1" applyBorder="1" applyAlignment="1" applyProtection="1">
      <alignment horizontal="right" vertical="center"/>
      <protection locked="0"/>
    </xf>
    <xf numFmtId="49" fontId="43" fillId="16" borderId="21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1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20" xfId="12" applyNumberFormat="1" applyFont="1" applyFill="1" applyBorder="1" applyAlignment="1" applyProtection="1">
      <alignment horizontal="right" vertical="center"/>
      <protection locked="0"/>
    </xf>
    <xf numFmtId="3" fontId="43" fillId="0" borderId="221" xfId="12" applyNumberFormat="1" applyFont="1" applyFill="1" applyBorder="1" applyAlignment="1" applyProtection="1">
      <alignment horizontal="right" vertical="center"/>
      <protection locked="0"/>
    </xf>
    <xf numFmtId="3" fontId="43" fillId="0" borderId="222" xfId="12" applyNumberFormat="1" applyFont="1" applyFill="1" applyBorder="1" applyAlignment="1" applyProtection="1">
      <alignment horizontal="right" vertical="center"/>
      <protection locked="0"/>
    </xf>
    <xf numFmtId="4" fontId="43" fillId="0" borderId="221" xfId="12" applyNumberFormat="1" applyFont="1" applyFill="1" applyBorder="1" applyAlignment="1" applyProtection="1">
      <alignment horizontal="right" vertical="center"/>
      <protection locked="0"/>
    </xf>
    <xf numFmtId="49" fontId="43" fillId="16" borderId="22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24" xfId="12" applyNumberFormat="1" applyFont="1" applyFill="1" applyBorder="1" applyAlignment="1" applyProtection="1">
      <alignment horizontal="right" vertical="center"/>
      <protection locked="0"/>
    </xf>
    <xf numFmtId="49" fontId="43" fillId="0" borderId="148" xfId="12" applyNumberFormat="1" applyFont="1" applyFill="1" applyBorder="1" applyAlignment="1" applyProtection="1">
      <alignment vertical="center" wrapText="1"/>
      <protection locked="0"/>
    </xf>
    <xf numFmtId="3" fontId="43" fillId="0" borderId="227" xfId="12" applyNumberFormat="1" applyFont="1" applyFill="1" applyBorder="1" applyAlignment="1" applyProtection="1">
      <alignment horizontal="right" vertical="center"/>
      <protection locked="0"/>
    </xf>
    <xf numFmtId="3" fontId="43" fillId="0" borderId="228" xfId="12" applyNumberFormat="1" applyFont="1" applyFill="1" applyBorder="1" applyAlignment="1" applyProtection="1">
      <alignment horizontal="right" vertical="center"/>
      <protection locked="0"/>
    </xf>
    <xf numFmtId="4" fontId="43" fillId="0" borderId="227" xfId="12" applyNumberFormat="1" applyFont="1" applyFill="1" applyBorder="1" applyAlignment="1" applyProtection="1">
      <alignment horizontal="right" vertical="center"/>
      <protection locked="0"/>
    </xf>
    <xf numFmtId="3" fontId="41" fillId="0" borderId="227" xfId="12" applyNumberFormat="1" applyFont="1" applyFill="1" applyBorder="1" applyAlignment="1" applyProtection="1">
      <alignment horizontal="right" vertical="center"/>
      <protection locked="0"/>
    </xf>
    <xf numFmtId="3" fontId="41" fillId="0" borderId="228" xfId="12" applyNumberFormat="1" applyFont="1" applyFill="1" applyBorder="1" applyAlignment="1" applyProtection="1">
      <alignment horizontal="right" vertical="center"/>
      <protection locked="0"/>
    </xf>
    <xf numFmtId="4" fontId="41" fillId="0" borderId="227" xfId="12" applyNumberFormat="1" applyFont="1" applyFill="1" applyBorder="1" applyAlignment="1" applyProtection="1">
      <alignment horizontal="right" vertical="center"/>
      <protection locked="0"/>
    </xf>
    <xf numFmtId="49" fontId="43" fillId="16" borderId="22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3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31" xfId="12" applyNumberFormat="1" applyFont="1" applyFill="1" applyBorder="1" applyAlignment="1" applyProtection="1">
      <alignment horizontal="right" vertical="center"/>
      <protection locked="0"/>
    </xf>
    <xf numFmtId="49" fontId="43" fillId="0" borderId="23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226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11" xfId="12" applyNumberFormat="1" applyFont="1" applyFill="1" applyBorder="1" applyAlignment="1" applyProtection="1">
      <alignment horizontal="right" vertical="center"/>
      <protection locked="0"/>
    </xf>
    <xf numFmtId="4" fontId="61" fillId="6" borderId="13" xfId="12" applyNumberFormat="1" applyFont="1" applyFill="1" applyBorder="1" applyAlignment="1" applyProtection="1">
      <alignment horizontal="right" vertical="center"/>
      <protection locked="0"/>
    </xf>
    <xf numFmtId="10" fontId="61" fillId="6" borderId="13" xfId="12" applyNumberFormat="1" applyFont="1" applyFill="1" applyBorder="1" applyAlignment="1" applyProtection="1">
      <alignment horizontal="right" vertical="center"/>
      <protection locked="0"/>
    </xf>
    <xf numFmtId="0" fontId="40" fillId="0" borderId="15" xfId="12" applyNumberFormat="1" applyFont="1" applyFill="1" applyBorder="1" applyAlignment="1" applyProtection="1">
      <alignment horizontal="right" vertical="center"/>
      <protection locked="0"/>
    </xf>
    <xf numFmtId="49" fontId="43" fillId="16" borderId="23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3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3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36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15" xfId="12" applyNumberFormat="1" applyFont="1" applyFill="1" applyBorder="1" applyAlignment="1" applyProtection="1">
      <alignment horizontal="right" vertical="center"/>
      <protection locked="0"/>
    </xf>
    <xf numFmtId="3" fontId="41" fillId="0" borderId="23" xfId="12" applyNumberFormat="1" applyFont="1" applyFill="1" applyBorder="1" applyAlignment="1" applyProtection="1">
      <alignment horizontal="right" vertical="center"/>
      <protection locked="0"/>
    </xf>
    <xf numFmtId="4" fontId="41" fillId="0" borderId="15" xfId="12" applyNumberFormat="1" applyFont="1" applyFill="1" applyBorder="1" applyAlignment="1" applyProtection="1">
      <alignment horizontal="right" vertical="center"/>
      <protection locked="0"/>
    </xf>
    <xf numFmtId="49" fontId="43" fillId="16" borderId="23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3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3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40" xfId="12" applyNumberFormat="1" applyFont="1" applyFill="1" applyBorder="1" applyAlignment="1" applyProtection="1">
      <alignment horizontal="right" vertical="center"/>
      <protection locked="0"/>
    </xf>
    <xf numFmtId="49" fontId="43" fillId="16" borderId="228" xfId="12" applyNumberFormat="1" applyFont="1" applyFill="1" applyBorder="1" applyAlignment="1" applyProtection="1">
      <alignment vertical="center" wrapText="1"/>
      <protection locked="0"/>
    </xf>
    <xf numFmtId="49" fontId="43" fillId="16" borderId="241" xfId="12" applyNumberFormat="1" applyFont="1" applyFill="1" applyBorder="1" applyAlignment="1" applyProtection="1">
      <alignment vertical="center" wrapText="1"/>
      <protection locked="0"/>
    </xf>
    <xf numFmtId="49" fontId="43" fillId="16" borderId="227" xfId="12" applyNumberFormat="1" applyFont="1" applyFill="1" applyBorder="1" applyAlignment="1" applyProtection="1">
      <alignment vertical="center" wrapText="1"/>
      <protection locked="0"/>
    </xf>
    <xf numFmtId="2" fontId="43" fillId="16" borderId="15" xfId="12" applyNumberFormat="1" applyFont="1" applyFill="1" applyBorder="1" applyAlignment="1" applyProtection="1">
      <alignment horizontal="right" vertical="center" wrapText="1"/>
      <protection locked="0"/>
    </xf>
    <xf numFmtId="49" fontId="43" fillId="16" borderId="24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45" xfId="12" applyNumberFormat="1" applyFont="1" applyFill="1" applyBorder="1" applyAlignment="1" applyProtection="1">
      <alignment vertical="center" wrapText="1"/>
      <protection locked="0"/>
    </xf>
    <xf numFmtId="49" fontId="43" fillId="16" borderId="15" xfId="12" applyNumberFormat="1" applyFont="1" applyFill="1" applyBorder="1" applyAlignment="1" applyProtection="1">
      <alignment horizontal="right" vertical="center" wrapText="1"/>
      <protection locked="0"/>
    </xf>
    <xf numFmtId="49" fontId="43" fillId="16" borderId="246" xfId="12" applyNumberFormat="1" applyFont="1" applyFill="1" applyBorder="1" applyAlignment="1" applyProtection="1">
      <alignment vertical="center" wrapText="1"/>
      <protection locked="0"/>
    </xf>
    <xf numFmtId="49" fontId="43" fillId="16" borderId="24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4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6" xfId="12" applyNumberFormat="1" applyFont="1" applyFill="1" applyBorder="1" applyAlignment="1" applyProtection="1">
      <alignment horizontal="center" vertical="center" wrapText="1"/>
      <protection locked="0"/>
    </xf>
    <xf numFmtId="0" fontId="89" fillId="0" borderId="166" xfId="11" applyFont="1" applyBorder="1" applyAlignment="1">
      <alignment vertical="center"/>
    </xf>
    <xf numFmtId="0" fontId="89" fillId="0" borderId="15" xfId="11" applyFont="1" applyBorder="1" applyAlignment="1">
      <alignment vertical="center"/>
    </xf>
    <xf numFmtId="49" fontId="43" fillId="16" borderId="226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234" xfId="11" applyFont="1" applyBorder="1" applyAlignment="1">
      <alignment horizontal="left" vertical="center" wrapText="1"/>
    </xf>
    <xf numFmtId="49" fontId="43" fillId="16" borderId="24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50" xfId="12" applyNumberFormat="1" applyFont="1" applyFill="1" applyBorder="1" applyAlignment="1" applyProtection="1">
      <alignment horizontal="right" vertical="center"/>
      <protection locked="0"/>
    </xf>
    <xf numFmtId="3" fontId="40" fillId="4" borderId="33" xfId="12" applyNumberFormat="1" applyFont="1" applyFill="1" applyBorder="1" applyAlignment="1" applyProtection="1">
      <alignment horizontal="right" vertical="center"/>
      <protection locked="0"/>
    </xf>
    <xf numFmtId="3" fontId="40" fillId="4" borderId="24" xfId="12" applyNumberFormat="1" applyFont="1" applyFill="1" applyBorder="1" applyAlignment="1" applyProtection="1">
      <alignment horizontal="right" vertical="center"/>
      <protection locked="0"/>
    </xf>
    <xf numFmtId="4" fontId="40" fillId="4" borderId="33" xfId="12" applyNumberFormat="1" applyFont="1" applyFill="1" applyBorder="1" applyAlignment="1" applyProtection="1">
      <alignment horizontal="right" vertical="center"/>
      <protection locked="0"/>
    </xf>
    <xf numFmtId="3" fontId="43" fillId="4" borderId="227" xfId="12" applyNumberFormat="1" applyFont="1" applyFill="1" applyBorder="1" applyAlignment="1" applyProtection="1">
      <alignment horizontal="right" vertical="center"/>
      <protection locked="0"/>
    </xf>
    <xf numFmtId="3" fontId="43" fillId="4" borderId="228" xfId="12" applyNumberFormat="1" applyFont="1" applyFill="1" applyBorder="1" applyAlignment="1" applyProtection="1">
      <alignment horizontal="right" vertical="center"/>
      <protection locked="0"/>
    </xf>
    <xf numFmtId="4" fontId="43" fillId="4" borderId="227" xfId="12" applyNumberFormat="1" applyFont="1" applyFill="1" applyBorder="1" applyAlignment="1" applyProtection="1">
      <alignment horizontal="right" vertical="center"/>
      <protection locked="0"/>
    </xf>
    <xf numFmtId="49" fontId="43" fillId="0" borderId="78" xfId="12" applyNumberFormat="1" applyFont="1" applyFill="1" applyBorder="1" applyAlignment="1" applyProtection="1">
      <alignment horizontal="center" vertical="center" wrapText="1"/>
      <protection locked="0"/>
    </xf>
    <xf numFmtId="3" fontId="61" fillId="4" borderId="227" xfId="12" applyNumberFormat="1" applyFont="1" applyFill="1" applyBorder="1" applyAlignment="1" applyProtection="1">
      <alignment horizontal="right" vertical="center"/>
      <protection locked="0"/>
    </xf>
    <xf numFmtId="3" fontId="61" fillId="4" borderId="228" xfId="12" applyNumberFormat="1" applyFont="1" applyFill="1" applyBorder="1" applyAlignment="1" applyProtection="1">
      <alignment horizontal="right" vertical="center"/>
      <protection locked="0"/>
    </xf>
    <xf numFmtId="4" fontId="61" fillId="4" borderId="227" xfId="12" applyNumberFormat="1" applyFont="1" applyFill="1" applyBorder="1" applyAlignment="1" applyProtection="1">
      <alignment horizontal="right" vertical="center"/>
      <protection locked="0"/>
    </xf>
    <xf numFmtId="4" fontId="40" fillId="6" borderId="8" xfId="12" applyNumberFormat="1" applyFont="1" applyFill="1" applyBorder="1" applyAlignment="1" applyProtection="1">
      <alignment horizontal="right" vertical="center"/>
      <protection locked="0"/>
    </xf>
    <xf numFmtId="49" fontId="43" fillId="16" borderId="148" xfId="12" applyNumberFormat="1" applyFont="1" applyFill="1" applyBorder="1" applyAlignment="1" applyProtection="1">
      <alignment vertical="center" wrapText="1"/>
      <protection locked="0"/>
    </xf>
    <xf numFmtId="49" fontId="61" fillId="18" borderId="1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251" xfId="12" applyNumberFormat="1" applyFont="1" applyFill="1" applyBorder="1" applyAlignment="1" applyProtection="1">
      <alignment horizontal="left" vertical="center" wrapText="1"/>
      <protection locked="0"/>
    </xf>
    <xf numFmtId="3" fontId="40" fillId="6" borderId="252" xfId="12" applyNumberFormat="1" applyFont="1" applyFill="1" applyBorder="1" applyAlignment="1" applyProtection="1">
      <alignment horizontal="right" vertical="center"/>
      <protection locked="0"/>
    </xf>
    <xf numFmtId="4" fontId="40" fillId="6" borderId="252" xfId="12" applyNumberFormat="1" applyFont="1" applyFill="1" applyBorder="1" applyAlignment="1" applyProtection="1">
      <alignment horizontal="right" vertical="center"/>
      <protection locked="0"/>
    </xf>
    <xf numFmtId="10" fontId="61" fillId="6" borderId="252" xfId="12" applyNumberFormat="1" applyFont="1" applyFill="1" applyBorder="1" applyAlignment="1" applyProtection="1">
      <alignment horizontal="right" vertical="center"/>
      <protection locked="0"/>
    </xf>
    <xf numFmtId="3" fontId="40" fillId="4" borderId="15" xfId="12" applyNumberFormat="1" applyFont="1" applyFill="1" applyBorder="1" applyAlignment="1" applyProtection="1">
      <alignment horizontal="right" vertical="center"/>
      <protection locked="0"/>
    </xf>
    <xf numFmtId="4" fontId="40" fillId="4" borderId="15" xfId="12" applyNumberFormat="1" applyFont="1" applyFill="1" applyBorder="1" applyAlignment="1" applyProtection="1">
      <alignment horizontal="right" vertical="center"/>
      <protection locked="0"/>
    </xf>
    <xf numFmtId="3" fontId="40" fillId="4" borderId="9" xfId="12" applyNumberFormat="1" applyFont="1" applyFill="1" applyBorder="1" applyAlignment="1" applyProtection="1">
      <alignment horizontal="right" vertical="center"/>
      <protection locked="0"/>
    </xf>
    <xf numFmtId="3" fontId="61" fillId="4" borderId="9" xfId="12" applyNumberFormat="1" applyFont="1" applyFill="1" applyBorder="1" applyAlignment="1" applyProtection="1">
      <alignment horizontal="right" vertical="center"/>
      <protection locked="0"/>
    </xf>
    <xf numFmtId="3" fontId="41" fillId="4" borderId="9" xfId="12" applyNumberFormat="1" applyFont="1" applyFill="1" applyBorder="1" applyAlignment="1" applyProtection="1">
      <alignment horizontal="right" vertical="center"/>
      <protection locked="0"/>
    </xf>
    <xf numFmtId="4" fontId="41" fillId="4" borderId="9" xfId="12" applyNumberFormat="1" applyFont="1" applyFill="1" applyBorder="1" applyAlignment="1" applyProtection="1">
      <alignment horizontal="right" vertical="center"/>
      <protection locked="0"/>
    </xf>
    <xf numFmtId="49" fontId="43" fillId="0" borderId="247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66" xfId="12" applyNumberFormat="1" applyFont="1" applyFill="1" applyBorder="1" applyAlignment="1" applyProtection="1">
      <alignment horizontal="left" vertical="center" wrapText="1"/>
      <protection locked="0"/>
    </xf>
    <xf numFmtId="3" fontId="40" fillId="4" borderId="227" xfId="12" applyNumberFormat="1" applyFont="1" applyFill="1" applyBorder="1" applyAlignment="1" applyProtection="1">
      <alignment horizontal="right" vertical="center"/>
      <protection locked="0"/>
    </xf>
    <xf numFmtId="4" fontId="40" fillId="4" borderId="9" xfId="12" applyNumberFormat="1" applyFont="1" applyFill="1" applyBorder="1" applyAlignment="1" applyProtection="1">
      <alignment horizontal="right" vertical="center"/>
      <protection locked="0"/>
    </xf>
    <xf numFmtId="3" fontId="43" fillId="4" borderId="9" xfId="12" applyNumberFormat="1" applyFont="1" applyFill="1" applyBorder="1" applyAlignment="1" applyProtection="1">
      <alignment horizontal="right" vertical="center"/>
      <protection locked="0"/>
    </xf>
    <xf numFmtId="49" fontId="43" fillId="19" borderId="207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20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54" xfId="12" applyNumberFormat="1" applyFont="1" applyFill="1" applyBorder="1" applyAlignment="1" applyProtection="1">
      <alignment horizontal="right" vertical="center"/>
      <protection locked="0"/>
    </xf>
    <xf numFmtId="4" fontId="43" fillId="0" borderId="254" xfId="12" applyNumberFormat="1" applyFont="1" applyFill="1" applyBorder="1" applyAlignment="1" applyProtection="1">
      <alignment horizontal="right" vertical="center"/>
      <protection locked="0"/>
    </xf>
    <xf numFmtId="49" fontId="43" fillId="16" borderId="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5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56" xfId="12" applyNumberFormat="1" applyFont="1" applyFill="1" applyBorder="1" applyAlignment="1" applyProtection="1">
      <alignment horizontal="right" vertical="center"/>
      <protection locked="0"/>
    </xf>
    <xf numFmtId="49" fontId="43" fillId="16" borderId="25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5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59" xfId="12" applyNumberFormat="1" applyFont="1" applyFill="1" applyBorder="1" applyAlignment="1" applyProtection="1">
      <alignment horizontal="right" vertical="center"/>
      <protection locked="0"/>
    </xf>
    <xf numFmtId="49" fontId="43" fillId="16" borderId="26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3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6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63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263" xfId="12" applyNumberFormat="1" applyFont="1" applyFill="1" applyBorder="1" applyAlignment="1" applyProtection="1">
      <alignment horizontal="right" vertical="center"/>
      <protection locked="0"/>
    </xf>
    <xf numFmtId="49" fontId="43" fillId="16" borderId="22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3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259" xfId="12" applyNumberFormat="1" applyFont="1" applyFill="1" applyBorder="1" applyAlignment="1" applyProtection="1">
      <alignment horizontal="right" vertical="center"/>
      <protection locked="0"/>
    </xf>
    <xf numFmtId="3" fontId="43" fillId="0" borderId="227" xfId="12" applyNumberFormat="1" applyFont="1" applyFill="1" applyBorder="1" applyAlignment="1" applyProtection="1">
      <alignment vertical="center"/>
      <protection locked="0"/>
    </xf>
    <xf numFmtId="49" fontId="43" fillId="16" borderId="5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2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6" xfId="12" applyNumberFormat="1" applyFont="1" applyFill="1" applyBorder="1" applyAlignment="1" applyProtection="1">
      <alignment vertical="center"/>
      <protection locked="0"/>
    </xf>
    <xf numFmtId="49" fontId="43" fillId="16" borderId="148" xfId="12" applyNumberFormat="1" applyFont="1" applyFill="1" applyBorder="1" applyAlignment="1" applyProtection="1">
      <alignment horizontal="center" vertical="center" wrapText="1"/>
      <protection locked="0"/>
    </xf>
    <xf numFmtId="4" fontId="40" fillId="0" borderId="151" xfId="12" applyNumberFormat="1" applyFont="1" applyFill="1" applyBorder="1" applyAlignment="1" applyProtection="1">
      <alignment horizontal="right" vertical="center"/>
      <protection locked="0"/>
    </xf>
    <xf numFmtId="10" fontId="40" fillId="0" borderId="33" xfId="12" applyNumberFormat="1" applyFont="1" applyFill="1" applyBorder="1" applyAlignment="1" applyProtection="1">
      <alignment horizontal="right" vertical="center"/>
      <protection locked="0"/>
    </xf>
    <xf numFmtId="4" fontId="43" fillId="0" borderId="264" xfId="12" applyNumberFormat="1" applyFont="1" applyFill="1" applyBorder="1" applyAlignment="1" applyProtection="1">
      <alignment horizontal="right" vertical="center"/>
      <protection locked="0"/>
    </xf>
    <xf numFmtId="10" fontId="43" fillId="0" borderId="15" xfId="12" applyNumberFormat="1" applyFont="1" applyFill="1" applyBorder="1" applyAlignment="1" applyProtection="1">
      <alignment horizontal="right" vertical="center"/>
      <protection locked="0"/>
    </xf>
    <xf numFmtId="3" fontId="41" fillId="0" borderId="267" xfId="12" applyNumberFormat="1" applyFont="1" applyFill="1" applyBorder="1" applyAlignment="1" applyProtection="1">
      <alignment horizontal="right" vertical="center"/>
      <protection locked="0"/>
    </xf>
    <xf numFmtId="3" fontId="41" fillId="0" borderId="268" xfId="12" applyNumberFormat="1" applyFont="1" applyFill="1" applyBorder="1" applyAlignment="1" applyProtection="1">
      <alignment horizontal="right" vertical="center"/>
      <protection locked="0"/>
    </xf>
    <xf numFmtId="4" fontId="41" fillId="0" borderId="268" xfId="12" applyNumberFormat="1" applyFont="1" applyFill="1" applyBorder="1" applyAlignment="1" applyProtection="1">
      <alignment horizontal="right" vertical="center"/>
      <protection locked="0"/>
    </xf>
    <xf numFmtId="10" fontId="41" fillId="0" borderId="227" xfId="12" applyNumberFormat="1" applyFont="1" applyFill="1" applyBorder="1" applyAlignment="1" applyProtection="1">
      <alignment horizontal="right" vertical="center"/>
      <protection locked="0"/>
    </xf>
    <xf numFmtId="49" fontId="43" fillId="16" borderId="25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69" xfId="12" applyNumberFormat="1" applyFont="1" applyFill="1" applyBorder="1" applyAlignment="1" applyProtection="1">
      <alignment horizontal="right" vertical="center"/>
      <protection locked="0"/>
    </xf>
    <xf numFmtId="3" fontId="43" fillId="0" borderId="268" xfId="12" applyNumberFormat="1" applyFont="1" applyFill="1" applyBorder="1" applyAlignment="1" applyProtection="1">
      <alignment horizontal="right" vertical="center"/>
      <protection locked="0"/>
    </xf>
    <xf numFmtId="4" fontId="43" fillId="0" borderId="269" xfId="12" applyNumberFormat="1" applyFont="1" applyFill="1" applyBorder="1" applyAlignment="1" applyProtection="1">
      <alignment horizontal="right" vertical="center"/>
      <protection locked="0"/>
    </xf>
    <xf numFmtId="49" fontId="43" fillId="16" borderId="27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7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7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73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227" xfId="12" applyNumberFormat="1" applyFont="1" applyFill="1" applyBorder="1" applyAlignment="1" applyProtection="1">
      <alignment horizontal="right" vertical="center"/>
      <protection locked="0"/>
    </xf>
    <xf numFmtId="49" fontId="43" fillId="16" borderId="7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8" xfId="12" applyNumberFormat="1" applyFont="1" applyFill="1" applyBorder="1" applyAlignment="1" applyProtection="1">
      <alignment horizontal="left" vertical="center" wrapText="1"/>
      <protection locked="0"/>
    </xf>
    <xf numFmtId="4" fontId="43" fillId="0" borderId="151" xfId="12" applyNumberFormat="1" applyFont="1" applyFill="1" applyBorder="1" applyAlignment="1" applyProtection="1">
      <alignment horizontal="right" vertical="center"/>
      <protection locked="0"/>
    </xf>
    <xf numFmtId="3" fontId="43" fillId="0" borderId="275" xfId="12" applyNumberFormat="1" applyFont="1" applyFill="1" applyBorder="1" applyAlignment="1" applyProtection="1">
      <alignment horizontal="right" vertical="center"/>
      <protection locked="0"/>
    </xf>
    <xf numFmtId="4" fontId="43" fillId="0" borderId="276" xfId="12" applyNumberFormat="1" applyFont="1" applyFill="1" applyBorder="1" applyAlignment="1" applyProtection="1">
      <alignment horizontal="right" vertical="center"/>
      <protection locked="0"/>
    </xf>
    <xf numFmtId="49" fontId="43" fillId="16" borderId="27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7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79" xfId="12" applyNumberFormat="1" applyFont="1" applyFill="1" applyBorder="1" applyAlignment="1" applyProtection="1">
      <alignment horizontal="right" vertical="center"/>
      <protection locked="0"/>
    </xf>
    <xf numFmtId="4" fontId="43" fillId="0" borderId="280" xfId="12" applyNumberFormat="1" applyFont="1" applyFill="1" applyBorder="1" applyAlignment="1" applyProtection="1">
      <alignment horizontal="right" vertical="center"/>
      <protection locked="0"/>
    </xf>
    <xf numFmtId="49" fontId="43" fillId="16" borderId="28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82" xfId="12" applyNumberFormat="1" applyFont="1" applyFill="1" applyBorder="1" applyAlignment="1" applyProtection="1">
      <alignment horizontal="left" vertical="center" wrapText="1"/>
      <protection locked="0"/>
    </xf>
    <xf numFmtId="10" fontId="41" fillId="0" borderId="99" xfId="12" applyNumberFormat="1" applyFont="1" applyFill="1" applyBorder="1" applyAlignment="1" applyProtection="1">
      <alignment horizontal="right" vertical="center"/>
      <protection locked="0"/>
    </xf>
    <xf numFmtId="49" fontId="43" fillId="16" borderId="28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8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85" xfId="12" applyNumberFormat="1" applyFont="1" applyFill="1" applyBorder="1" applyAlignment="1" applyProtection="1">
      <alignment horizontal="right" vertical="center"/>
      <protection locked="0"/>
    </xf>
    <xf numFmtId="49" fontId="43" fillId="16" borderId="28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8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8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8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9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9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92" xfId="12" applyNumberFormat="1" applyFont="1" applyFill="1" applyBorder="1" applyAlignment="1" applyProtection="1">
      <alignment horizontal="right" vertical="center"/>
      <protection locked="0"/>
    </xf>
    <xf numFmtId="3" fontId="43" fillId="0" borderId="293" xfId="12" applyNumberFormat="1" applyFont="1" applyFill="1" applyBorder="1" applyAlignment="1" applyProtection="1">
      <alignment horizontal="right" vertical="center"/>
      <protection locked="0"/>
    </xf>
    <xf numFmtId="4" fontId="43" fillId="0" borderId="292" xfId="12" applyNumberFormat="1" applyFont="1" applyFill="1" applyBorder="1" applyAlignment="1" applyProtection="1">
      <alignment horizontal="right" vertical="center"/>
      <protection locked="0"/>
    </xf>
    <xf numFmtId="49" fontId="43" fillId="16" borderId="29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95" xfId="12" applyNumberFormat="1" applyFont="1" applyFill="1" applyBorder="1" applyAlignment="1" applyProtection="1">
      <alignment horizontal="left" vertical="center" wrapText="1"/>
      <protection locked="0"/>
    </xf>
    <xf numFmtId="10" fontId="61" fillId="6" borderId="30" xfId="12" applyNumberFormat="1" applyFont="1" applyFill="1" applyBorder="1" applyAlignment="1" applyProtection="1">
      <alignment horizontal="right" vertical="center"/>
      <protection locked="0"/>
    </xf>
    <xf numFmtId="3" fontId="40" fillId="4" borderId="23" xfId="12" applyNumberFormat="1" applyFont="1" applyFill="1" applyBorder="1" applyAlignment="1" applyProtection="1">
      <alignment horizontal="right" vertical="center"/>
      <protection locked="0"/>
    </xf>
    <xf numFmtId="3" fontId="43" fillId="4" borderId="184" xfId="12" applyNumberFormat="1" applyFont="1" applyFill="1" applyBorder="1" applyAlignment="1" applyProtection="1">
      <alignment horizontal="right" vertical="center"/>
      <protection locked="0"/>
    </xf>
    <xf numFmtId="49" fontId="43" fillId="16" borderId="29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9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299" xfId="12" applyNumberFormat="1" applyFont="1" applyFill="1" applyBorder="1" applyAlignment="1" applyProtection="1">
      <alignment horizontal="right" vertical="center"/>
      <protection locked="0"/>
    </xf>
    <xf numFmtId="49" fontId="43" fillId="16" borderId="30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01" xfId="12" applyNumberFormat="1" applyFont="1" applyFill="1" applyBorder="1" applyAlignment="1" applyProtection="1">
      <alignment horizontal="left" vertical="center" wrapText="1"/>
      <protection locked="0"/>
    </xf>
    <xf numFmtId="3" fontId="43" fillId="4" borderId="15" xfId="12" applyNumberFormat="1" applyFont="1" applyFill="1" applyBorder="1" applyAlignment="1" applyProtection="1">
      <alignment horizontal="right" vertical="center"/>
      <protection locked="0"/>
    </xf>
    <xf numFmtId="3" fontId="41" fillId="4" borderId="15" xfId="12" applyNumberFormat="1" applyFont="1" applyFill="1" applyBorder="1" applyAlignment="1" applyProtection="1">
      <alignment horizontal="right" vertical="center"/>
      <protection locked="0"/>
    </xf>
    <xf numFmtId="3" fontId="41" fillId="4" borderId="23" xfId="12" applyNumberFormat="1" applyFont="1" applyFill="1" applyBorder="1" applyAlignment="1" applyProtection="1">
      <alignment horizontal="right" vertical="center"/>
      <protection locked="0"/>
    </xf>
    <xf numFmtId="4" fontId="41" fillId="4" borderId="15" xfId="12" applyNumberFormat="1" applyFont="1" applyFill="1" applyBorder="1" applyAlignment="1" applyProtection="1">
      <alignment horizontal="right" vertical="center"/>
      <protection locked="0"/>
    </xf>
    <xf numFmtId="49" fontId="43" fillId="16" borderId="30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05" xfId="12" applyNumberFormat="1" applyFont="1" applyFill="1" applyBorder="1" applyAlignment="1" applyProtection="1">
      <alignment horizontal="left" vertical="center" wrapText="1"/>
      <protection locked="0"/>
    </xf>
    <xf numFmtId="3" fontId="43" fillId="4" borderId="292" xfId="12" applyNumberFormat="1" applyFont="1" applyFill="1" applyBorder="1" applyAlignment="1" applyProtection="1">
      <alignment horizontal="right" vertical="center"/>
      <protection locked="0"/>
    </xf>
    <xf numFmtId="49" fontId="43" fillId="16" borderId="306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307" xfId="12" applyNumberFormat="1" applyFont="1" applyFill="1" applyBorder="1" applyAlignment="1" applyProtection="1">
      <alignment horizontal="left" vertical="center" wrapText="1"/>
      <protection locked="0"/>
    </xf>
    <xf numFmtId="3" fontId="43" fillId="4" borderId="308" xfId="12" applyNumberFormat="1" applyFont="1" applyFill="1" applyBorder="1" applyAlignment="1" applyProtection="1">
      <alignment horizontal="right" vertical="center"/>
      <protection locked="0"/>
    </xf>
    <xf numFmtId="0" fontId="89" fillId="4" borderId="9" xfId="11" applyFont="1" applyFill="1" applyBorder="1" applyAlignment="1">
      <alignment horizontal="center" vertical="center" wrapText="1"/>
    </xf>
    <xf numFmtId="49" fontId="43" fillId="16" borderId="309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310" xfId="12" applyNumberFormat="1" applyFont="1" applyFill="1" applyBorder="1" applyAlignment="1" applyProtection="1">
      <alignment horizontal="left" vertical="center" wrapText="1"/>
      <protection locked="0"/>
    </xf>
    <xf numFmtId="3" fontId="43" fillId="4" borderId="311" xfId="12" applyNumberFormat="1" applyFont="1" applyFill="1" applyBorder="1" applyAlignment="1" applyProtection="1">
      <alignment horizontal="right" vertical="center"/>
      <protection locked="0"/>
    </xf>
    <xf numFmtId="49" fontId="43" fillId="19" borderId="312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3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69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314" xfId="12" applyNumberFormat="1" applyFont="1" applyFill="1" applyBorder="1" applyAlignment="1" applyProtection="1">
      <alignment horizontal="left" vertical="center" wrapText="1"/>
      <protection locked="0"/>
    </xf>
    <xf numFmtId="3" fontId="43" fillId="4" borderId="315" xfId="12" applyNumberFormat="1" applyFont="1" applyFill="1" applyBorder="1" applyAlignment="1" applyProtection="1">
      <alignment horizontal="right" vertical="center"/>
      <protection locked="0"/>
    </xf>
    <xf numFmtId="49" fontId="43" fillId="16" borderId="166" xfId="12" applyNumberFormat="1" applyFont="1" applyFill="1" applyBorder="1" applyAlignment="1" applyProtection="1">
      <alignment horizontal="center" vertical="center" wrapText="1"/>
      <protection locked="0"/>
    </xf>
    <xf numFmtId="3" fontId="43" fillId="4" borderId="14" xfId="12" applyNumberFormat="1" applyFont="1" applyFill="1" applyBorder="1" applyAlignment="1" applyProtection="1">
      <alignment horizontal="right" vertical="center"/>
      <protection locked="0"/>
    </xf>
    <xf numFmtId="4" fontId="43" fillId="4" borderId="9" xfId="12" applyNumberFormat="1" applyFont="1" applyFill="1" applyBorder="1" applyAlignment="1" applyProtection="1">
      <alignment horizontal="right" vertical="center"/>
      <protection locked="0"/>
    </xf>
    <xf numFmtId="49" fontId="43" fillId="16" borderId="31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0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17" xfId="12" applyNumberFormat="1" applyFont="1" applyFill="1" applyBorder="1" applyAlignment="1" applyProtection="1">
      <alignment horizontal="center" vertical="center" wrapText="1"/>
      <protection locked="0"/>
    </xf>
    <xf numFmtId="0" fontId="89" fillId="4" borderId="13" xfId="11" applyFont="1" applyFill="1" applyBorder="1" applyAlignment="1">
      <alignment horizontal="center" vertical="center" wrapText="1"/>
    </xf>
    <xf numFmtId="3" fontId="43" fillId="4" borderId="26" xfId="12" applyNumberFormat="1" applyFont="1" applyFill="1" applyBorder="1" applyAlignment="1" applyProtection="1">
      <alignment horizontal="right" vertical="center"/>
      <protection locked="0"/>
    </xf>
    <xf numFmtId="49" fontId="43" fillId="16" borderId="4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0" xfId="12" applyNumberFormat="1" applyFont="1" applyFill="1" applyBorder="1" applyAlignment="1" applyProtection="1">
      <alignment horizontal="left" vertical="center" wrapText="1"/>
      <protection locked="0"/>
    </xf>
    <xf numFmtId="3" fontId="43" fillId="4" borderId="33" xfId="12" applyNumberFormat="1" applyFont="1" applyFill="1" applyBorder="1" applyAlignment="1" applyProtection="1">
      <alignment horizontal="right" vertical="center"/>
      <protection locked="0"/>
    </xf>
    <xf numFmtId="49" fontId="43" fillId="16" borderId="31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14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314" xfId="12" applyNumberFormat="1" applyFont="1" applyFill="1" applyBorder="1" applyAlignment="1" applyProtection="1">
      <alignment horizontal="right" vertical="center"/>
      <protection locked="0"/>
    </xf>
    <xf numFmtId="49" fontId="43" fillId="16" borderId="319" xfId="12" applyNumberFormat="1" applyFont="1" applyFill="1" applyBorder="1" applyAlignment="1" applyProtection="1">
      <alignment horizontal="left" vertical="center" wrapText="1"/>
      <protection locked="0"/>
    </xf>
    <xf numFmtId="3" fontId="40" fillId="4" borderId="311" xfId="12" applyNumberFormat="1" applyFont="1" applyFill="1" applyBorder="1" applyAlignment="1" applyProtection="1">
      <alignment horizontal="right" vertical="center"/>
      <protection locked="0"/>
    </xf>
    <xf numFmtId="3" fontId="40" fillId="0" borderId="299" xfId="12" applyNumberFormat="1" applyFont="1" applyFill="1" applyBorder="1" applyAlignment="1" applyProtection="1">
      <alignment horizontal="right" vertical="center"/>
      <protection locked="0"/>
    </xf>
    <xf numFmtId="4" fontId="40" fillId="0" borderId="227" xfId="12" applyNumberFormat="1" applyFont="1" applyFill="1" applyBorder="1" applyAlignment="1" applyProtection="1">
      <alignment horizontal="right" vertical="center"/>
      <protection locked="0"/>
    </xf>
    <xf numFmtId="4" fontId="43" fillId="4" borderId="311" xfId="12" applyNumberFormat="1" applyFont="1" applyFill="1" applyBorder="1" applyAlignment="1" applyProtection="1">
      <alignment horizontal="right" vertical="center"/>
      <protection locked="0"/>
    </xf>
    <xf numFmtId="49" fontId="43" fillId="16" borderId="32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2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8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83" xfId="12" applyNumberFormat="1" applyFont="1" applyFill="1" applyBorder="1" applyAlignment="1" applyProtection="1">
      <alignment horizontal="left" vertical="center" wrapText="1"/>
      <protection locked="0"/>
    </xf>
    <xf numFmtId="49" fontId="40" fillId="17" borderId="148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322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323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148" xfId="12" applyNumberFormat="1" applyFont="1" applyFill="1" applyBorder="1" applyAlignment="1" applyProtection="1">
      <alignment horizontal="right" vertical="center"/>
      <protection locked="0"/>
    </xf>
    <xf numFmtId="3" fontId="40" fillId="13" borderId="203" xfId="12" applyNumberFormat="1" applyFont="1" applyFill="1" applyBorder="1" applyAlignment="1" applyProtection="1">
      <alignment horizontal="right" vertical="center"/>
      <protection locked="0"/>
    </xf>
    <xf numFmtId="4" fontId="40" fillId="13" borderId="148" xfId="12" applyNumberFormat="1" applyFont="1" applyFill="1" applyBorder="1" applyAlignment="1" applyProtection="1">
      <alignment horizontal="right" vertical="center"/>
      <protection locked="0"/>
    </xf>
    <xf numFmtId="3" fontId="43" fillId="0" borderId="315" xfId="12" applyNumberFormat="1" applyFont="1" applyFill="1" applyBorder="1" applyAlignment="1" applyProtection="1">
      <alignment horizontal="right" vertical="center"/>
      <protection locked="0"/>
    </xf>
    <xf numFmtId="49" fontId="43" fillId="0" borderId="32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2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2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11" xfId="12" applyNumberFormat="1" applyFont="1" applyFill="1" applyBorder="1" applyAlignment="1" applyProtection="1">
      <alignment horizontal="right" vertical="center"/>
      <protection locked="0"/>
    </xf>
    <xf numFmtId="4" fontId="43" fillId="0" borderId="311" xfId="12" applyNumberFormat="1" applyFont="1" applyFill="1" applyBorder="1" applyAlignment="1" applyProtection="1">
      <alignment horizontal="right" vertical="center"/>
      <protection locked="0"/>
    </xf>
    <xf numFmtId="3" fontId="40" fillId="0" borderId="311" xfId="12" applyNumberFormat="1" applyFont="1" applyFill="1" applyBorder="1" applyAlignment="1" applyProtection="1">
      <alignment horizontal="right" vertical="center"/>
      <protection locked="0"/>
    </xf>
    <xf numFmtId="3" fontId="40" fillId="0" borderId="327" xfId="12" applyNumberFormat="1" applyFont="1" applyFill="1" applyBorder="1" applyAlignment="1" applyProtection="1">
      <alignment horizontal="right" vertical="center"/>
      <protection locked="0"/>
    </xf>
    <xf numFmtId="4" fontId="40" fillId="0" borderId="311" xfId="12" applyNumberFormat="1" applyFont="1" applyFill="1" applyBorder="1" applyAlignment="1" applyProtection="1">
      <alignment horizontal="right" vertical="center"/>
      <protection locked="0"/>
    </xf>
    <xf numFmtId="3" fontId="43" fillId="0" borderId="327" xfId="12" applyNumberFormat="1" applyFont="1" applyFill="1" applyBorder="1" applyAlignment="1" applyProtection="1">
      <alignment horizontal="right" vertical="center"/>
      <protection locked="0"/>
    </xf>
    <xf numFmtId="49" fontId="43" fillId="16" borderId="32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2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3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31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9" xfId="12" applyNumberFormat="1" applyFont="1" applyFill="1" applyBorder="1" applyAlignment="1" applyProtection="1">
      <alignment horizontal="right" vertical="center"/>
      <protection locked="0"/>
    </xf>
    <xf numFmtId="3" fontId="43" fillId="0" borderId="14" xfId="12" applyNumberFormat="1" applyFont="1" applyFill="1" applyBorder="1" applyAlignment="1" applyProtection="1">
      <alignment horizontal="right" vertical="center"/>
      <protection locked="0"/>
    </xf>
    <xf numFmtId="49" fontId="43" fillId="16" borderId="3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32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315" xfId="12" applyNumberFormat="1" applyFont="1" applyFill="1" applyBorder="1" applyAlignment="1" applyProtection="1">
      <alignment horizontal="right" vertical="center"/>
      <protection locked="0"/>
    </xf>
    <xf numFmtId="49" fontId="43" fillId="16" borderId="333" xfId="12" applyNumberFormat="1" applyFont="1" applyFill="1" applyBorder="1" applyAlignment="1" applyProtection="1">
      <alignment horizontal="center" vertical="center" wrapText="1"/>
      <protection locked="0"/>
    </xf>
    <xf numFmtId="49" fontId="41" fillId="16" borderId="33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37" xfId="12" applyNumberFormat="1" applyFont="1" applyFill="1" applyBorder="1" applyAlignment="1" applyProtection="1">
      <alignment horizontal="right" vertical="center"/>
      <protection locked="0"/>
    </xf>
    <xf numFmtId="3" fontId="40" fillId="0" borderId="338" xfId="12" applyNumberFormat="1" applyFont="1" applyFill="1" applyBorder="1" applyAlignment="1" applyProtection="1">
      <alignment horizontal="right" vertical="center"/>
      <protection locked="0"/>
    </xf>
    <xf numFmtId="3" fontId="40" fillId="0" borderId="339" xfId="12" applyNumberFormat="1" applyFont="1" applyFill="1" applyBorder="1" applyAlignment="1" applyProtection="1">
      <alignment horizontal="right" vertical="center"/>
      <protection locked="0"/>
    </xf>
    <xf numFmtId="49" fontId="43" fillId="16" borderId="341" xfId="12" applyNumberFormat="1" applyFont="1" applyFill="1" applyBorder="1" applyAlignment="1" applyProtection="1">
      <alignment horizontal="center" vertical="center" wrapText="1"/>
      <protection locked="0"/>
    </xf>
    <xf numFmtId="4" fontId="61" fillId="6" borderId="2" xfId="12" applyNumberFormat="1" applyFont="1" applyFill="1" applyBorder="1" applyAlignment="1" applyProtection="1">
      <alignment horizontal="right" vertical="center"/>
      <protection locked="0"/>
    </xf>
    <xf numFmtId="3" fontId="41" fillId="0" borderId="26" xfId="12" applyNumberFormat="1" applyFont="1" applyFill="1" applyBorder="1" applyAlignment="1" applyProtection="1">
      <alignment horizontal="right" vertical="center"/>
      <protection locked="0"/>
    </xf>
    <xf numFmtId="3" fontId="41" fillId="0" borderId="32" xfId="12" applyNumberFormat="1" applyFont="1" applyFill="1" applyBorder="1" applyAlignment="1" applyProtection="1">
      <alignment horizontal="right" vertical="center"/>
      <protection locked="0"/>
    </xf>
    <xf numFmtId="4" fontId="41" fillId="0" borderId="26" xfId="12" applyNumberFormat="1" applyFont="1" applyFill="1" applyBorder="1" applyAlignment="1" applyProtection="1">
      <alignment horizontal="right" vertical="center"/>
      <protection locked="0"/>
    </xf>
    <xf numFmtId="10" fontId="41" fillId="0" borderId="12" xfId="12" applyNumberFormat="1" applyFont="1" applyFill="1" applyBorder="1" applyAlignment="1" applyProtection="1">
      <alignment horizontal="right" vertical="center"/>
      <protection locked="0"/>
    </xf>
    <xf numFmtId="49" fontId="43" fillId="16" borderId="342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343" xfId="12" applyNumberFormat="1" applyFont="1" applyFill="1" applyBorder="1" applyAlignment="1" applyProtection="1">
      <alignment horizontal="right" vertical="center"/>
      <protection locked="0"/>
    </xf>
    <xf numFmtId="3" fontId="43" fillId="0" borderId="340" xfId="12" applyNumberFormat="1" applyFont="1" applyFill="1" applyBorder="1" applyAlignment="1" applyProtection="1">
      <alignment horizontal="right" vertical="center"/>
      <protection locked="0"/>
    </xf>
    <xf numFmtId="4" fontId="43" fillId="0" borderId="343" xfId="12" applyNumberFormat="1" applyFont="1" applyFill="1" applyBorder="1" applyAlignment="1" applyProtection="1">
      <alignment horizontal="right" vertical="center"/>
      <protection locked="0"/>
    </xf>
    <xf numFmtId="3" fontId="43" fillId="0" borderId="344" xfId="12" applyNumberFormat="1" applyFont="1" applyFill="1" applyBorder="1" applyAlignment="1" applyProtection="1">
      <alignment horizontal="right" vertical="center"/>
      <protection locked="0"/>
    </xf>
    <xf numFmtId="4" fontId="43" fillId="0" borderId="345" xfId="12" applyNumberFormat="1" applyFont="1" applyFill="1" applyBorder="1" applyAlignment="1" applyProtection="1">
      <alignment horizontal="right" vertical="center"/>
      <protection locked="0"/>
    </xf>
    <xf numFmtId="2" fontId="43" fillId="0" borderId="32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46" xfId="12" applyNumberFormat="1" applyFont="1" applyFill="1" applyBorder="1" applyAlignment="1" applyProtection="1">
      <alignment horizontal="right" vertical="center"/>
      <protection locked="0"/>
    </xf>
    <xf numFmtId="2" fontId="43" fillId="0" borderId="11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47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34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45" xfId="12" applyNumberFormat="1" applyFont="1" applyFill="1" applyBorder="1" applyAlignment="1" applyProtection="1">
      <alignment horizontal="right" vertical="center"/>
      <protection locked="0"/>
    </xf>
    <xf numFmtId="2" fontId="43" fillId="0" borderId="34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50" xfId="12" applyNumberFormat="1" applyFont="1" applyFill="1" applyBorder="1" applyAlignment="1" applyProtection="1">
      <alignment horizontal="right" vertical="center"/>
      <protection locked="0"/>
    </xf>
    <xf numFmtId="2" fontId="43" fillId="0" borderId="0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227" xfId="12" applyNumberFormat="1" applyFont="1" applyFill="1" applyBorder="1" applyAlignment="1" applyProtection="1">
      <alignment horizontal="right" vertical="center"/>
      <protection locked="0"/>
    </xf>
    <xf numFmtId="49" fontId="43" fillId="16" borderId="35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52" xfId="12" applyNumberFormat="1" applyFont="1" applyFill="1" applyBorder="1" applyAlignment="1" applyProtection="1">
      <alignment horizontal="right" vertical="center"/>
      <protection locked="0"/>
    </xf>
    <xf numFmtId="4" fontId="43" fillId="0" borderId="353" xfId="12" applyNumberFormat="1" applyFont="1" applyFill="1" applyBorder="1" applyAlignment="1" applyProtection="1">
      <alignment horizontal="right" vertical="center"/>
      <protection locked="0"/>
    </xf>
    <xf numFmtId="49" fontId="61" fillId="18" borderId="194" xfId="12" applyNumberFormat="1" applyFont="1" applyFill="1" applyBorder="1" applyAlignment="1" applyProtection="1">
      <alignment horizontal="center" vertical="center" wrapText="1"/>
      <protection locked="0"/>
    </xf>
    <xf numFmtId="10" fontId="43" fillId="8" borderId="7" xfId="12" applyNumberFormat="1" applyFont="1" applyFill="1" applyBorder="1" applyAlignment="1" applyProtection="1">
      <alignment horizontal="right" vertical="center"/>
      <protection locked="0"/>
    </xf>
    <xf numFmtId="3" fontId="43" fillId="0" borderId="356" xfId="12" applyNumberFormat="1" applyFont="1" applyFill="1" applyBorder="1" applyAlignment="1" applyProtection="1">
      <alignment horizontal="right" vertical="center"/>
      <protection locked="0"/>
    </xf>
    <xf numFmtId="49" fontId="43" fillId="16" borderId="36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6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6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6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6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5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59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315" xfId="12" applyNumberFormat="1" applyFont="1" applyFill="1" applyBorder="1" applyAlignment="1" applyProtection="1">
      <alignment horizontal="right" vertical="center"/>
      <protection locked="0"/>
    </xf>
    <xf numFmtId="49" fontId="43" fillId="16" borderId="36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6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6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7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7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72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16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7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74" xfId="12" applyNumberFormat="1" applyFont="1" applyFill="1" applyBorder="1" applyAlignment="1" applyProtection="1">
      <alignment horizontal="left" vertical="center" wrapText="1"/>
      <protection locked="0"/>
    </xf>
    <xf numFmtId="4" fontId="43" fillId="0" borderId="375" xfId="12" applyNumberFormat="1" applyFont="1" applyFill="1" applyBorder="1" applyAlignment="1" applyProtection="1">
      <alignment horizontal="right" vertical="center"/>
      <protection locked="0"/>
    </xf>
    <xf numFmtId="3" fontId="43" fillId="0" borderId="377" xfId="12" applyNumberFormat="1" applyFont="1" applyFill="1" applyBorder="1" applyAlignment="1" applyProtection="1">
      <alignment horizontal="right" vertical="center"/>
      <protection locked="0"/>
    </xf>
    <xf numFmtId="3" fontId="43" fillId="0" borderId="378" xfId="12" applyNumberFormat="1" applyFont="1" applyFill="1" applyBorder="1" applyAlignment="1" applyProtection="1">
      <alignment horizontal="right" vertical="center"/>
      <protection locked="0"/>
    </xf>
    <xf numFmtId="3" fontId="41" fillId="0" borderId="205" xfId="12" applyNumberFormat="1" applyFont="1" applyFill="1" applyBorder="1" applyAlignment="1" applyProtection="1">
      <alignment horizontal="right" vertical="center"/>
      <protection locked="0"/>
    </xf>
    <xf numFmtId="3" fontId="41" fillId="0" borderId="379" xfId="12" applyNumberFormat="1" applyFont="1" applyFill="1" applyBorder="1" applyAlignment="1" applyProtection="1">
      <alignment horizontal="right" vertical="center"/>
      <protection locked="0"/>
    </xf>
    <xf numFmtId="4" fontId="41" fillId="0" borderId="205" xfId="12" applyNumberFormat="1" applyFont="1" applyFill="1" applyBorder="1" applyAlignment="1" applyProtection="1">
      <alignment horizontal="right" vertical="center"/>
      <protection locked="0"/>
    </xf>
    <xf numFmtId="49" fontId="43" fillId="16" borderId="38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8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82" xfId="12" applyNumberFormat="1" applyFont="1" applyFill="1" applyBorder="1" applyAlignment="1" applyProtection="1">
      <alignment horizontal="right" vertical="center"/>
      <protection locked="0"/>
    </xf>
    <xf numFmtId="4" fontId="43" fillId="0" borderId="383" xfId="12" applyNumberFormat="1" applyFont="1" applyFill="1" applyBorder="1" applyAlignment="1" applyProtection="1">
      <alignment horizontal="right" vertical="center"/>
      <protection locked="0"/>
    </xf>
    <xf numFmtId="49" fontId="43" fillId="16" borderId="38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8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86" xfId="12" applyNumberFormat="1" applyFont="1" applyFill="1" applyBorder="1" applyAlignment="1" applyProtection="1">
      <alignment horizontal="right" vertical="center"/>
      <protection locked="0"/>
    </xf>
    <xf numFmtId="2" fontId="43" fillId="0" borderId="387" xfId="12" applyNumberFormat="1" applyFont="1" applyFill="1" applyBorder="1" applyAlignment="1" applyProtection="1">
      <alignment horizontal="left" vertical="center" wrapText="1"/>
      <protection locked="0"/>
    </xf>
    <xf numFmtId="49" fontId="40" fillId="19" borderId="14" xfId="12" applyNumberFormat="1" applyFont="1" applyFill="1" applyBorder="1" applyAlignment="1" applyProtection="1">
      <alignment horizontal="center" vertical="center" wrapText="1"/>
      <protection locked="0"/>
    </xf>
    <xf numFmtId="10" fontId="43" fillId="0" borderId="8" xfId="12" applyNumberFormat="1" applyFont="1" applyFill="1" applyBorder="1" applyAlignment="1" applyProtection="1">
      <alignment horizontal="right" vertical="center"/>
      <protection locked="0"/>
    </xf>
    <xf numFmtId="49" fontId="40" fillId="0" borderId="148" xfId="12" applyNumberFormat="1" applyFont="1" applyFill="1" applyBorder="1" applyAlignment="1" applyProtection="1">
      <alignment horizontal="center" vertical="center" wrapText="1"/>
      <protection locked="0"/>
    </xf>
    <xf numFmtId="3" fontId="40" fillId="4" borderId="148" xfId="12" applyNumberFormat="1" applyFont="1" applyFill="1" applyBorder="1" applyAlignment="1" applyProtection="1">
      <alignment horizontal="right" vertical="center"/>
      <protection locked="0"/>
    </xf>
    <xf numFmtId="3" fontId="40" fillId="4" borderId="203" xfId="12" applyNumberFormat="1" applyFont="1" applyFill="1" applyBorder="1" applyAlignment="1" applyProtection="1">
      <alignment horizontal="right" vertical="center"/>
      <protection locked="0"/>
    </xf>
    <xf numFmtId="4" fontId="40" fillId="4" borderId="148" xfId="12" applyNumberFormat="1" applyFont="1" applyFill="1" applyBorder="1" applyAlignment="1" applyProtection="1">
      <alignment horizontal="right" vertical="center"/>
      <protection locked="0"/>
    </xf>
    <xf numFmtId="49" fontId="40" fillId="0" borderId="9" xfId="12" applyNumberFormat="1" applyFont="1" applyFill="1" applyBorder="1" applyAlignment="1" applyProtection="1">
      <alignment horizontal="center" vertical="center" wrapText="1"/>
      <protection locked="0"/>
    </xf>
    <xf numFmtId="3" fontId="43" fillId="4" borderId="353" xfId="12" applyNumberFormat="1" applyFont="1" applyFill="1" applyBorder="1" applyAlignment="1" applyProtection="1">
      <alignment horizontal="right" vertical="center"/>
      <protection locked="0"/>
    </xf>
    <xf numFmtId="3" fontId="43" fillId="4" borderId="389" xfId="12" applyNumberFormat="1" applyFont="1" applyFill="1" applyBorder="1" applyAlignment="1" applyProtection="1">
      <alignment horizontal="right" vertical="center"/>
      <protection locked="0"/>
    </xf>
    <xf numFmtId="4" fontId="43" fillId="4" borderId="353" xfId="12" applyNumberFormat="1" applyFont="1" applyFill="1" applyBorder="1" applyAlignment="1" applyProtection="1">
      <alignment horizontal="right" vertical="center"/>
      <protection locked="0"/>
    </xf>
    <xf numFmtId="49" fontId="40" fillId="0" borderId="13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215" xfId="12" applyNumberFormat="1" applyFont="1" applyFill="1" applyBorder="1" applyAlignment="1" applyProtection="1">
      <alignment horizontal="center" vertical="center" wrapText="1"/>
      <protection locked="0"/>
    </xf>
    <xf numFmtId="3" fontId="43" fillId="4" borderId="32" xfId="12" applyNumberFormat="1" applyFont="1" applyFill="1" applyBorder="1" applyAlignment="1" applyProtection="1">
      <alignment horizontal="right" vertical="center"/>
      <protection locked="0"/>
    </xf>
    <xf numFmtId="4" fontId="43" fillId="4" borderId="26" xfId="12" applyNumberFormat="1" applyFont="1" applyFill="1" applyBorder="1" applyAlignment="1" applyProtection="1">
      <alignment horizontal="right" vertical="center"/>
      <protection locked="0"/>
    </xf>
    <xf numFmtId="3" fontId="43" fillId="0" borderId="391" xfId="12" applyNumberFormat="1" applyFont="1" applyFill="1" applyBorder="1" applyAlignment="1" applyProtection="1">
      <alignment horizontal="right" vertical="center"/>
      <protection locked="0"/>
    </xf>
    <xf numFmtId="49" fontId="40" fillId="19" borderId="11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392" xfId="12" applyNumberFormat="1" applyFont="1" applyFill="1" applyBorder="1" applyAlignment="1" applyProtection="1">
      <alignment horizontal="right" vertical="center"/>
      <protection locked="0"/>
    </xf>
    <xf numFmtId="49" fontId="43" fillId="19" borderId="148" xfId="12" applyNumberFormat="1" applyFont="1" applyFill="1" applyBorder="1" applyAlignment="1" applyProtection="1">
      <alignment horizontal="center" vertical="center" wrapText="1"/>
      <protection locked="0"/>
    </xf>
    <xf numFmtId="49" fontId="40" fillId="0" borderId="16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83" xfId="12" applyNumberFormat="1" applyFont="1" applyFill="1" applyBorder="1" applyAlignment="1" applyProtection="1">
      <alignment horizontal="right" vertical="center"/>
      <protection locked="0"/>
    </xf>
    <xf numFmtId="3" fontId="43" fillId="0" borderId="393" xfId="12" applyNumberFormat="1" applyFont="1" applyFill="1" applyBorder="1" applyAlignment="1" applyProtection="1">
      <alignment horizontal="right" vertical="center"/>
      <protection locked="0"/>
    </xf>
    <xf numFmtId="10" fontId="43" fillId="0" borderId="395" xfId="12" applyNumberFormat="1" applyFont="1" applyFill="1" applyBorder="1" applyAlignment="1" applyProtection="1">
      <alignment horizontal="right" vertical="center"/>
      <protection locked="0"/>
    </xf>
    <xf numFmtId="49" fontId="43" fillId="16" borderId="396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397" xfId="12" applyNumberFormat="1" applyFont="1" applyFill="1" applyBorder="1" applyAlignment="1" applyProtection="1">
      <alignment horizontal="right" vertical="center"/>
      <protection locked="0"/>
    </xf>
    <xf numFmtId="4" fontId="43" fillId="0" borderId="398" xfId="12" applyNumberFormat="1" applyFont="1" applyFill="1" applyBorder="1" applyAlignment="1" applyProtection="1">
      <alignment horizontal="right" vertical="center"/>
      <protection locked="0"/>
    </xf>
    <xf numFmtId="49" fontId="43" fillId="16" borderId="211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366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39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00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40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01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63" xfId="12" applyNumberFormat="1" applyFont="1" applyFill="1" applyBorder="1" applyAlignment="1" applyProtection="1">
      <alignment horizontal="right" vertical="center"/>
      <protection locked="0"/>
    </xf>
    <xf numFmtId="49" fontId="43" fillId="16" borderId="40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0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0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0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0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0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0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0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1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1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12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227" xfId="12" applyNumberFormat="1" applyFont="1" applyFill="1" applyBorder="1" applyAlignment="1" applyProtection="1">
      <alignment vertical="center"/>
      <protection locked="0"/>
    </xf>
    <xf numFmtId="3" fontId="40" fillId="0" borderId="413" xfId="12" applyNumberFormat="1" applyFont="1" applyFill="1" applyBorder="1" applyAlignment="1" applyProtection="1">
      <alignment horizontal="right" vertical="center"/>
      <protection locked="0"/>
    </xf>
    <xf numFmtId="3" fontId="43" fillId="0" borderId="413" xfId="12" applyNumberFormat="1" applyFont="1" applyFill="1" applyBorder="1" applyAlignment="1" applyProtection="1">
      <alignment horizontal="right" vertical="center"/>
      <protection locked="0"/>
    </xf>
    <xf numFmtId="49" fontId="43" fillId="19" borderId="294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417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41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419" xfId="11" applyNumberFormat="1" applyFont="1" applyBorder="1" applyAlignment="1">
      <alignment vertical="center" wrapText="1"/>
    </xf>
    <xf numFmtId="49" fontId="43" fillId="19" borderId="420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42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5" xfId="12" applyNumberFormat="1" applyFont="1" applyFill="1" applyBorder="1" applyAlignment="1" applyProtection="1">
      <alignment vertical="center"/>
      <protection locked="0"/>
    </xf>
    <xf numFmtId="49" fontId="43" fillId="0" borderId="415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0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" xfId="12" applyNumberFormat="1" applyFont="1" applyFill="1" applyBorder="1" applyAlignment="1" applyProtection="1">
      <alignment vertical="center"/>
      <protection locked="0"/>
    </xf>
    <xf numFmtId="49" fontId="43" fillId="16" borderId="42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24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26" xfId="12" applyNumberFormat="1" applyFont="1" applyFill="1" applyBorder="1" applyAlignment="1" applyProtection="1">
      <alignment horizontal="right" vertical="center"/>
      <protection locked="0"/>
    </xf>
    <xf numFmtId="49" fontId="43" fillId="16" borderId="41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25" xfId="12" applyNumberFormat="1" applyFont="1" applyFill="1" applyBorder="1" applyAlignment="1" applyProtection="1">
      <alignment horizontal="right" vertical="center"/>
      <protection locked="0"/>
    </xf>
    <xf numFmtId="3" fontId="43" fillId="0" borderId="426" xfId="12" applyNumberFormat="1" applyFont="1" applyFill="1" applyBorder="1" applyAlignment="1" applyProtection="1">
      <alignment horizontal="right" vertical="center"/>
      <protection locked="0"/>
    </xf>
    <xf numFmtId="10" fontId="40" fillId="13" borderId="33" xfId="12" applyNumberFormat="1" applyFont="1" applyFill="1" applyBorder="1" applyAlignment="1" applyProtection="1">
      <alignment horizontal="right" vertical="center"/>
      <protection locked="0"/>
    </xf>
    <xf numFmtId="49" fontId="61" fillId="18" borderId="14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2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2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1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3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" xfId="12" applyNumberFormat="1" applyFont="1" applyFill="1" applyBorder="1" applyAlignment="1" applyProtection="1">
      <alignment vertical="center" wrapText="1"/>
      <protection locked="0"/>
    </xf>
    <xf numFmtId="49" fontId="43" fillId="16" borderId="11" xfId="12" applyNumberFormat="1" applyFont="1" applyFill="1" applyBorder="1" applyAlignment="1" applyProtection="1">
      <alignment vertical="center" wrapText="1"/>
      <protection locked="0"/>
    </xf>
    <xf numFmtId="3" fontId="43" fillId="0" borderId="431" xfId="12" applyNumberFormat="1" applyFont="1" applyFill="1" applyBorder="1" applyAlignment="1" applyProtection="1">
      <alignment horizontal="right" vertical="center"/>
      <protection locked="0"/>
    </xf>
    <xf numFmtId="3" fontId="43" fillId="0" borderId="432" xfId="12" applyNumberFormat="1" applyFont="1" applyFill="1" applyBorder="1" applyAlignment="1" applyProtection="1">
      <alignment horizontal="right" vertical="center"/>
      <protection locked="0"/>
    </xf>
    <xf numFmtId="49" fontId="43" fillId="19" borderId="408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40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32" xfId="12" applyNumberFormat="1" applyFont="1" applyFill="1" applyBorder="1" applyAlignment="1" applyProtection="1">
      <alignment vertical="center"/>
      <protection locked="0"/>
    </xf>
    <xf numFmtId="49" fontId="43" fillId="16" borderId="43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3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3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1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3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40" xfId="12" applyNumberFormat="1" applyFont="1" applyFill="1" applyBorder="1" applyAlignment="1" applyProtection="1">
      <alignment horizontal="center" vertical="center" wrapText="1"/>
      <protection locked="0"/>
    </xf>
    <xf numFmtId="4" fontId="43" fillId="0" borderId="441" xfId="12" applyNumberFormat="1" applyFont="1" applyFill="1" applyBorder="1" applyAlignment="1" applyProtection="1">
      <alignment horizontal="right" vertical="center"/>
      <protection locked="0"/>
    </xf>
    <xf numFmtId="10" fontId="43" fillId="0" borderId="433" xfId="12" applyNumberFormat="1" applyFont="1" applyFill="1" applyBorder="1" applyAlignment="1" applyProtection="1">
      <alignment horizontal="right" vertical="center"/>
      <protection locked="0"/>
    </xf>
    <xf numFmtId="49" fontId="43" fillId="16" borderId="43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9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15" xfId="12" applyNumberFormat="1" applyFont="1" applyFill="1" applyBorder="1" applyAlignment="1" applyProtection="1">
      <alignment vertical="center" wrapText="1"/>
      <protection locked="0"/>
    </xf>
    <xf numFmtId="49" fontId="43" fillId="16" borderId="434" xfId="12" applyNumberFormat="1" applyFont="1" applyFill="1" applyBorder="1" applyAlignment="1" applyProtection="1">
      <alignment vertical="center" wrapText="1"/>
      <protection locked="0"/>
    </xf>
    <xf numFmtId="49" fontId="43" fillId="0" borderId="44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443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43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4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4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4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4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4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4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50" xfId="12" applyNumberFormat="1" applyFont="1" applyFill="1" applyBorder="1" applyAlignment="1" applyProtection="1">
      <alignment horizontal="center" vertical="center" wrapText="1"/>
      <protection locked="0"/>
    </xf>
    <xf numFmtId="4" fontId="43" fillId="0" borderId="432" xfId="12" applyNumberFormat="1" applyFont="1" applyFill="1" applyBorder="1" applyAlignment="1" applyProtection="1">
      <alignment horizontal="right" vertical="center"/>
      <protection locked="0"/>
    </xf>
    <xf numFmtId="49" fontId="43" fillId="16" borderId="45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34" xfId="12" applyNumberFormat="1" applyFont="1" applyFill="1" applyBorder="1" applyAlignment="1" applyProtection="1">
      <alignment horizontal="right" vertical="center"/>
      <protection locked="0"/>
    </xf>
    <xf numFmtId="10" fontId="43" fillId="0" borderId="435" xfId="12" applyNumberFormat="1" applyFont="1" applyFill="1" applyBorder="1" applyAlignment="1" applyProtection="1">
      <alignment horizontal="right" vertical="center"/>
      <protection locked="0"/>
    </xf>
    <xf numFmtId="49" fontId="43" fillId="16" borderId="453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454" xfId="12" applyNumberFormat="1" applyFont="1" applyFill="1" applyBorder="1" applyAlignment="1" applyProtection="1">
      <alignment horizontal="right" vertical="center"/>
      <protection locked="0"/>
    </xf>
    <xf numFmtId="4" fontId="43" fillId="0" borderId="454" xfId="12" applyNumberFormat="1" applyFont="1" applyFill="1" applyBorder="1" applyAlignment="1" applyProtection="1">
      <alignment horizontal="right" vertical="center"/>
      <protection locked="0"/>
    </xf>
    <xf numFmtId="10" fontId="43" fillId="0" borderId="414" xfId="12" applyNumberFormat="1" applyFont="1" applyFill="1" applyBorder="1" applyAlignment="1" applyProtection="1">
      <alignment horizontal="right" vertical="center"/>
      <protection locked="0"/>
    </xf>
    <xf numFmtId="0" fontId="89" fillId="0" borderId="415" xfId="11" applyFont="1" applyBorder="1" applyAlignment="1">
      <alignment vertical="center"/>
    </xf>
    <xf numFmtId="0" fontId="89" fillId="0" borderId="227" xfId="11" applyFont="1" applyBorder="1" applyAlignment="1">
      <alignment vertical="center"/>
    </xf>
    <xf numFmtId="49" fontId="43" fillId="16" borderId="45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5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57" xfId="12" applyNumberFormat="1" applyFont="1" applyFill="1" applyBorder="1" applyAlignment="1" applyProtection="1">
      <alignment horizontal="right" vertical="center"/>
      <protection locked="0"/>
    </xf>
    <xf numFmtId="49" fontId="43" fillId="16" borderId="452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439" xfId="11" applyFont="1" applyBorder="1" applyAlignment="1">
      <alignment horizontal="left" vertical="center" wrapText="1"/>
    </xf>
    <xf numFmtId="3" fontId="43" fillId="4" borderId="432" xfId="12" applyNumberFormat="1" applyFont="1" applyFill="1" applyBorder="1" applyAlignment="1" applyProtection="1">
      <alignment horizontal="right" vertical="center"/>
      <protection locked="0"/>
    </xf>
    <xf numFmtId="4" fontId="43" fillId="4" borderId="432" xfId="12" applyNumberFormat="1" applyFont="1" applyFill="1" applyBorder="1" applyAlignment="1" applyProtection="1">
      <alignment horizontal="right" vertical="center"/>
      <protection locked="0"/>
    </xf>
    <xf numFmtId="49" fontId="43" fillId="16" borderId="45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44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439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1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19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36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3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60" xfId="12" applyNumberFormat="1" applyFont="1" applyFill="1" applyBorder="1" applyAlignment="1" applyProtection="1">
      <alignment vertical="center" wrapText="1"/>
      <protection locked="0"/>
    </xf>
    <xf numFmtId="10" fontId="43" fillId="0" borderId="461" xfId="12" applyNumberFormat="1" applyFont="1" applyFill="1" applyBorder="1" applyAlignment="1" applyProtection="1">
      <alignment horizontal="right" vertical="center"/>
      <protection locked="0"/>
    </xf>
    <xf numFmtId="49" fontId="43" fillId="16" borderId="46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6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64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465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45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6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1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42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467" xfId="12" applyNumberFormat="1" applyFont="1" applyFill="1" applyBorder="1" applyAlignment="1" applyProtection="1">
      <alignment horizontal="right" vertical="center"/>
      <protection locked="0"/>
    </xf>
    <xf numFmtId="4" fontId="43" fillId="0" borderId="467" xfId="12" applyNumberFormat="1" applyFont="1" applyFill="1" applyBorder="1" applyAlignment="1" applyProtection="1">
      <alignment horizontal="right" vertical="center"/>
      <protection locked="0"/>
    </xf>
    <xf numFmtId="49" fontId="43" fillId="16" borderId="468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469" xfId="12" applyNumberFormat="1" applyFont="1" applyFill="1" applyBorder="1" applyAlignment="1" applyProtection="1">
      <alignment horizontal="right" vertical="center"/>
      <protection locked="0"/>
    </xf>
    <xf numFmtId="4" fontId="43" fillId="0" borderId="469" xfId="12" applyNumberFormat="1" applyFont="1" applyFill="1" applyBorder="1" applyAlignment="1" applyProtection="1">
      <alignment horizontal="right" vertical="center"/>
      <protection locked="0"/>
    </xf>
    <xf numFmtId="49" fontId="43" fillId="16" borderId="470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471" xfId="12" applyNumberFormat="1" applyFont="1" applyFill="1" applyBorder="1" applyAlignment="1" applyProtection="1">
      <alignment horizontal="right" vertical="center"/>
      <protection locked="0"/>
    </xf>
    <xf numFmtId="3" fontId="43" fillId="0" borderId="472" xfId="12" applyNumberFormat="1" applyFont="1" applyFill="1" applyBorder="1" applyAlignment="1" applyProtection="1">
      <alignment horizontal="right" vertical="center"/>
      <protection locked="0"/>
    </xf>
    <xf numFmtId="4" fontId="43" fillId="0" borderId="471" xfId="12" applyNumberFormat="1" applyFont="1" applyFill="1" applyBorder="1" applyAlignment="1" applyProtection="1">
      <alignment horizontal="right" vertical="center"/>
      <protection locked="0"/>
    </xf>
    <xf numFmtId="49" fontId="43" fillId="16" borderId="47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7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75" xfId="12" applyNumberFormat="1" applyFont="1" applyFill="1" applyBorder="1" applyAlignment="1" applyProtection="1">
      <alignment horizontal="right" vertical="center"/>
      <protection locked="0"/>
    </xf>
    <xf numFmtId="3" fontId="43" fillId="0" borderId="476" xfId="12" applyNumberFormat="1" applyFont="1" applyFill="1" applyBorder="1" applyAlignment="1" applyProtection="1">
      <alignment horizontal="right" vertical="center"/>
      <protection locked="0"/>
    </xf>
    <xf numFmtId="4" fontId="43" fillId="0" borderId="475" xfId="12" applyNumberFormat="1" applyFont="1" applyFill="1" applyBorder="1" applyAlignment="1" applyProtection="1">
      <alignment horizontal="right" vertical="center"/>
      <protection locked="0"/>
    </xf>
    <xf numFmtId="49" fontId="43" fillId="16" borderId="47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7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79" xfId="12" applyNumberFormat="1" applyFont="1" applyFill="1" applyBorder="1" applyAlignment="1" applyProtection="1">
      <alignment horizontal="right" vertical="center"/>
      <protection locked="0"/>
    </xf>
    <xf numFmtId="3" fontId="43" fillId="0" borderId="480" xfId="12" applyNumberFormat="1" applyFont="1" applyFill="1" applyBorder="1" applyAlignment="1" applyProtection="1">
      <alignment horizontal="right" vertical="center"/>
      <protection locked="0"/>
    </xf>
    <xf numFmtId="4" fontId="43" fillId="0" borderId="479" xfId="12" applyNumberFormat="1" applyFont="1" applyFill="1" applyBorder="1" applyAlignment="1" applyProtection="1">
      <alignment horizontal="right" vertical="center"/>
      <protection locked="0"/>
    </xf>
    <xf numFmtId="49" fontId="43" fillId="16" borderId="48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8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83" xfId="12" applyNumberFormat="1" applyFont="1" applyFill="1" applyBorder="1" applyAlignment="1" applyProtection="1">
      <alignment horizontal="right" vertical="center"/>
      <protection locked="0"/>
    </xf>
    <xf numFmtId="3" fontId="43" fillId="0" borderId="484" xfId="12" applyNumberFormat="1" applyFont="1" applyFill="1" applyBorder="1" applyAlignment="1" applyProtection="1">
      <alignment horizontal="right" vertical="center"/>
      <protection locked="0"/>
    </xf>
    <xf numFmtId="4" fontId="43" fillId="0" borderId="483" xfId="12" applyNumberFormat="1" applyFont="1" applyFill="1" applyBorder="1" applyAlignment="1" applyProtection="1">
      <alignment horizontal="right" vertical="center"/>
      <protection locked="0"/>
    </xf>
    <xf numFmtId="49" fontId="43" fillId="16" borderId="48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8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87" xfId="12" applyNumberFormat="1" applyFont="1" applyFill="1" applyBorder="1" applyAlignment="1" applyProtection="1">
      <alignment horizontal="right" vertical="center"/>
      <protection locked="0"/>
    </xf>
    <xf numFmtId="3" fontId="43" fillId="0" borderId="488" xfId="12" applyNumberFormat="1" applyFont="1" applyFill="1" applyBorder="1" applyAlignment="1" applyProtection="1">
      <alignment horizontal="right" vertical="center"/>
      <protection locked="0"/>
    </xf>
    <xf numFmtId="4" fontId="43" fillId="0" borderId="487" xfId="12" applyNumberFormat="1" applyFont="1" applyFill="1" applyBorder="1" applyAlignment="1" applyProtection="1">
      <alignment horizontal="right" vertical="center"/>
      <protection locked="0"/>
    </xf>
    <xf numFmtId="49" fontId="43" fillId="16" borderId="48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9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91" xfId="12" applyNumberFormat="1" applyFont="1" applyFill="1" applyBorder="1" applyAlignment="1" applyProtection="1">
      <alignment horizontal="right" vertical="center"/>
      <protection locked="0"/>
    </xf>
    <xf numFmtId="3" fontId="43" fillId="0" borderId="492" xfId="12" applyNumberFormat="1" applyFont="1" applyFill="1" applyBorder="1" applyAlignment="1" applyProtection="1">
      <alignment horizontal="right" vertical="center"/>
      <protection locked="0"/>
    </xf>
    <xf numFmtId="4" fontId="43" fillId="0" borderId="491" xfId="12" applyNumberFormat="1" applyFont="1" applyFill="1" applyBorder="1" applyAlignment="1" applyProtection="1">
      <alignment horizontal="right" vertical="center"/>
      <protection locked="0"/>
    </xf>
    <xf numFmtId="49" fontId="43" fillId="16" borderId="49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9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95" xfId="12" applyNumberFormat="1" applyFont="1" applyFill="1" applyBorder="1" applyAlignment="1" applyProtection="1">
      <alignment horizontal="right" vertical="center"/>
      <protection locked="0"/>
    </xf>
    <xf numFmtId="3" fontId="43" fillId="0" borderId="496" xfId="12" applyNumberFormat="1" applyFont="1" applyFill="1" applyBorder="1" applyAlignment="1" applyProtection="1">
      <alignment horizontal="right" vertical="center"/>
      <protection locked="0"/>
    </xf>
    <xf numFmtId="4" fontId="43" fillId="0" borderId="495" xfId="12" applyNumberFormat="1" applyFont="1" applyFill="1" applyBorder="1" applyAlignment="1" applyProtection="1">
      <alignment horizontal="right" vertical="center"/>
      <protection locked="0"/>
    </xf>
    <xf numFmtId="49" fontId="43" fillId="16" borderId="49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9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99" xfId="12" applyNumberFormat="1" applyFont="1" applyFill="1" applyBorder="1" applyAlignment="1" applyProtection="1">
      <alignment horizontal="right" vertical="center"/>
      <protection locked="0"/>
    </xf>
    <xf numFmtId="3" fontId="43" fillId="0" borderId="500" xfId="12" applyNumberFormat="1" applyFont="1" applyFill="1" applyBorder="1" applyAlignment="1" applyProtection="1">
      <alignment horizontal="right" vertical="center"/>
      <protection locked="0"/>
    </xf>
    <xf numFmtId="4" fontId="43" fillId="0" borderId="499" xfId="12" applyNumberFormat="1" applyFont="1" applyFill="1" applyBorder="1" applyAlignment="1" applyProtection="1">
      <alignment horizontal="right" vertical="center"/>
      <protection locked="0"/>
    </xf>
    <xf numFmtId="49" fontId="43" fillId="16" borderId="50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0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03" xfId="12" applyNumberFormat="1" applyFont="1" applyFill="1" applyBorder="1" applyAlignment="1" applyProtection="1">
      <alignment horizontal="right" vertical="center"/>
      <protection locked="0"/>
    </xf>
    <xf numFmtId="3" fontId="43" fillId="0" borderId="504" xfId="12" applyNumberFormat="1" applyFont="1" applyFill="1" applyBorder="1" applyAlignment="1" applyProtection="1">
      <alignment horizontal="right" vertical="center"/>
      <protection locked="0"/>
    </xf>
    <xf numFmtId="4" fontId="43" fillId="0" borderId="503" xfId="12" applyNumberFormat="1" applyFont="1" applyFill="1" applyBorder="1" applyAlignment="1" applyProtection="1">
      <alignment horizontal="right" vertical="center"/>
      <protection locked="0"/>
    </xf>
    <xf numFmtId="49" fontId="43" fillId="16" borderId="50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0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07" xfId="12" applyNumberFormat="1" applyFont="1" applyFill="1" applyBorder="1" applyAlignment="1" applyProtection="1">
      <alignment horizontal="right" vertical="center"/>
      <protection locked="0"/>
    </xf>
    <xf numFmtId="3" fontId="43" fillId="0" borderId="508" xfId="12" applyNumberFormat="1" applyFont="1" applyFill="1" applyBorder="1" applyAlignment="1" applyProtection="1">
      <alignment horizontal="right" vertical="center"/>
      <protection locked="0"/>
    </xf>
    <xf numFmtId="4" fontId="43" fillId="0" borderId="507" xfId="12" applyNumberFormat="1" applyFont="1" applyFill="1" applyBorder="1" applyAlignment="1" applyProtection="1">
      <alignment horizontal="right" vertical="center"/>
      <protection locked="0"/>
    </xf>
    <xf numFmtId="49" fontId="43" fillId="0" borderId="50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10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511" xfId="12" applyNumberFormat="1" applyFont="1" applyFill="1" applyBorder="1" applyAlignment="1" applyProtection="1">
      <alignment horizontal="right" vertical="center"/>
      <protection locked="0"/>
    </xf>
    <xf numFmtId="49" fontId="43" fillId="0" borderId="97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51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13" xfId="12" applyNumberFormat="1" applyFont="1" applyFill="1" applyBorder="1" applyAlignment="1" applyProtection="1">
      <alignment horizontal="right" vertical="center"/>
      <protection locked="0"/>
    </xf>
    <xf numFmtId="3" fontId="43" fillId="0" borderId="514" xfId="12" applyNumberFormat="1" applyFont="1" applyFill="1" applyBorder="1" applyAlignment="1" applyProtection="1">
      <alignment horizontal="right" vertical="center"/>
      <protection locked="0"/>
    </xf>
    <xf numFmtId="4" fontId="43" fillId="0" borderId="513" xfId="12" applyNumberFormat="1" applyFont="1" applyFill="1" applyBorder="1" applyAlignment="1" applyProtection="1">
      <alignment horizontal="right" vertical="center"/>
      <protection locked="0"/>
    </xf>
    <xf numFmtId="49" fontId="43" fillId="0" borderId="515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1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17" xfId="12" applyNumberFormat="1" applyFont="1" applyFill="1" applyBorder="1" applyAlignment="1" applyProtection="1">
      <alignment horizontal="right" vertical="center"/>
      <protection locked="0"/>
    </xf>
    <xf numFmtId="3" fontId="43" fillId="0" borderId="518" xfId="12" applyNumberFormat="1" applyFont="1" applyFill="1" applyBorder="1" applyAlignment="1" applyProtection="1">
      <alignment horizontal="right" vertical="center"/>
      <protection locked="0"/>
    </xf>
    <xf numFmtId="4" fontId="43" fillId="0" borderId="517" xfId="12" applyNumberFormat="1" applyFont="1" applyFill="1" applyBorder="1" applyAlignment="1" applyProtection="1">
      <alignment horizontal="right" vertical="center"/>
      <protection locked="0"/>
    </xf>
    <xf numFmtId="49" fontId="43" fillId="0" borderId="51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2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21" xfId="12" applyNumberFormat="1" applyFont="1" applyFill="1" applyBorder="1" applyAlignment="1" applyProtection="1">
      <alignment horizontal="right" vertical="center"/>
      <protection locked="0"/>
    </xf>
    <xf numFmtId="3" fontId="43" fillId="0" borderId="522" xfId="12" applyNumberFormat="1" applyFont="1" applyFill="1" applyBorder="1" applyAlignment="1" applyProtection="1">
      <alignment horizontal="right" vertical="center"/>
      <protection locked="0"/>
    </xf>
    <xf numFmtId="4" fontId="43" fillId="0" borderId="521" xfId="12" applyNumberFormat="1" applyFont="1" applyFill="1" applyBorder="1" applyAlignment="1" applyProtection="1">
      <alignment horizontal="right" vertical="center"/>
      <protection locked="0"/>
    </xf>
    <xf numFmtId="49" fontId="43" fillId="0" borderId="523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2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25" xfId="12" applyNumberFormat="1" applyFont="1" applyFill="1" applyBorder="1" applyAlignment="1" applyProtection="1">
      <alignment horizontal="right" vertical="center"/>
      <protection locked="0"/>
    </xf>
    <xf numFmtId="3" fontId="43" fillId="0" borderId="526" xfId="12" applyNumberFormat="1" applyFont="1" applyFill="1" applyBorder="1" applyAlignment="1" applyProtection="1">
      <alignment horizontal="right" vertical="center"/>
      <protection locked="0"/>
    </xf>
    <xf numFmtId="4" fontId="43" fillId="0" borderId="525" xfId="12" applyNumberFormat="1" applyFont="1" applyFill="1" applyBorder="1" applyAlignment="1" applyProtection="1">
      <alignment horizontal="right" vertical="center"/>
      <protection locked="0"/>
    </xf>
    <xf numFmtId="49" fontId="43" fillId="0" borderId="527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2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29" xfId="12" applyNumberFormat="1" applyFont="1" applyFill="1" applyBorder="1" applyAlignment="1" applyProtection="1">
      <alignment horizontal="right" vertical="center"/>
      <protection locked="0"/>
    </xf>
    <xf numFmtId="3" fontId="43" fillId="0" borderId="530" xfId="12" applyNumberFormat="1" applyFont="1" applyFill="1" applyBorder="1" applyAlignment="1" applyProtection="1">
      <alignment horizontal="right" vertical="center"/>
      <protection locked="0"/>
    </xf>
    <xf numFmtId="4" fontId="43" fillId="0" borderId="529" xfId="12" applyNumberFormat="1" applyFont="1" applyFill="1" applyBorder="1" applyAlignment="1" applyProtection="1">
      <alignment horizontal="right" vertical="center"/>
      <protection locked="0"/>
    </xf>
    <xf numFmtId="49" fontId="43" fillId="0" borderId="531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3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33" xfId="12" applyNumberFormat="1" applyFont="1" applyFill="1" applyBorder="1" applyAlignment="1" applyProtection="1">
      <alignment horizontal="right" vertical="center"/>
      <protection locked="0"/>
    </xf>
    <xf numFmtId="3" fontId="43" fillId="0" borderId="534" xfId="12" applyNumberFormat="1" applyFont="1" applyFill="1" applyBorder="1" applyAlignment="1" applyProtection="1">
      <alignment horizontal="right" vertical="center"/>
      <protection locked="0"/>
    </xf>
    <xf numFmtId="4" fontId="43" fillId="0" borderId="533" xfId="12" applyNumberFormat="1" applyFont="1" applyFill="1" applyBorder="1" applyAlignment="1" applyProtection="1">
      <alignment horizontal="right" vertical="center"/>
      <protection locked="0"/>
    </xf>
    <xf numFmtId="49" fontId="43" fillId="0" borderId="535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3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37" xfId="12" applyNumberFormat="1" applyFont="1" applyFill="1" applyBorder="1" applyAlignment="1" applyProtection="1">
      <alignment horizontal="right" vertical="center"/>
      <protection locked="0"/>
    </xf>
    <xf numFmtId="3" fontId="43" fillId="0" borderId="538" xfId="12" applyNumberFormat="1" applyFont="1" applyFill="1" applyBorder="1" applyAlignment="1" applyProtection="1">
      <alignment horizontal="right" vertical="center"/>
      <protection locked="0"/>
    </xf>
    <xf numFmtId="4" fontId="43" fillId="0" borderId="537" xfId="12" applyNumberFormat="1" applyFont="1" applyFill="1" applyBorder="1" applyAlignment="1" applyProtection="1">
      <alignment horizontal="right" vertical="center"/>
      <protection locked="0"/>
    </xf>
    <xf numFmtId="49" fontId="43" fillId="0" borderId="53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4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3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4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4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4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441" xfId="12" applyNumberFormat="1" applyFont="1" applyFill="1" applyBorder="1" applyAlignment="1" applyProtection="1">
      <alignment horizontal="right" vertical="center"/>
      <protection locked="0"/>
    </xf>
    <xf numFmtId="49" fontId="43" fillId="16" borderId="543" xfId="12" applyNumberFormat="1" applyFont="1" applyFill="1" applyBorder="1" applyAlignment="1" applyProtection="1">
      <alignment vertical="center" wrapText="1"/>
      <protection locked="0"/>
    </xf>
    <xf numFmtId="49" fontId="43" fillId="16" borderId="540" xfId="12" applyNumberFormat="1" applyFont="1" applyFill="1" applyBorder="1" applyAlignment="1" applyProtection="1">
      <alignment vertical="center" wrapText="1"/>
      <protection locked="0"/>
    </xf>
    <xf numFmtId="10" fontId="43" fillId="0" borderId="544" xfId="12" applyNumberFormat="1" applyFont="1" applyFill="1" applyBorder="1" applyAlignment="1" applyProtection="1">
      <alignment horizontal="right" vertical="center"/>
      <protection locked="0"/>
    </xf>
    <xf numFmtId="3" fontId="40" fillId="0" borderId="15" xfId="12" applyNumberFormat="1" applyFont="1" applyFill="1" applyBorder="1" applyAlignment="1" applyProtection="1">
      <alignment vertical="center"/>
      <protection locked="0"/>
    </xf>
    <xf numFmtId="3" fontId="43" fillId="0" borderId="537" xfId="12" applyNumberFormat="1" applyFont="1" applyFill="1" applyBorder="1" applyAlignment="1" applyProtection="1">
      <alignment vertical="center"/>
      <protection locked="0"/>
    </xf>
    <xf numFmtId="3" fontId="43" fillId="0" borderId="543" xfId="12" applyNumberFormat="1" applyFont="1" applyFill="1" applyBorder="1" applyAlignment="1" applyProtection="1">
      <alignment horizontal="right" vertical="center"/>
      <protection locked="0"/>
    </xf>
    <xf numFmtId="49" fontId="43" fillId="16" borderId="54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4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47" xfId="12" applyNumberFormat="1" applyFont="1" applyFill="1" applyBorder="1" applyAlignment="1" applyProtection="1">
      <alignment horizontal="left" vertical="center" wrapText="1"/>
      <protection locked="0"/>
    </xf>
    <xf numFmtId="3" fontId="40" fillId="8" borderId="8" xfId="12" applyNumberFormat="1" applyFont="1" applyFill="1" applyBorder="1" applyAlignment="1" applyProtection="1">
      <alignment vertical="center"/>
      <protection locked="0"/>
    </xf>
    <xf numFmtId="4" fontId="40" fillId="8" borderId="8" xfId="12" applyNumberFormat="1" applyFont="1" applyFill="1" applyBorder="1" applyAlignment="1" applyProtection="1">
      <alignment vertical="center"/>
      <protection locked="0"/>
    </xf>
    <xf numFmtId="10" fontId="43" fillId="8" borderId="167" xfId="12" applyNumberFormat="1" applyFont="1" applyFill="1" applyBorder="1" applyAlignment="1" applyProtection="1">
      <alignment horizontal="right" vertical="center"/>
      <protection locked="0"/>
    </xf>
    <xf numFmtId="4" fontId="43" fillId="0" borderId="9" xfId="12" applyNumberFormat="1" applyFont="1" applyFill="1" applyBorder="1" applyAlignment="1" applyProtection="1">
      <alignment vertical="center"/>
      <protection locked="0"/>
    </xf>
    <xf numFmtId="4" fontId="43" fillId="0" borderId="432" xfId="12" applyNumberFormat="1" applyFont="1" applyFill="1" applyBorder="1" applyAlignment="1" applyProtection="1">
      <alignment vertical="center"/>
      <protection locked="0"/>
    </xf>
    <xf numFmtId="49" fontId="43" fillId="16" borderId="434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537" xfId="12" applyNumberFormat="1" applyFont="1" applyFill="1" applyBorder="1" applyAlignment="1" applyProtection="1">
      <alignment vertical="center"/>
      <protection locked="0"/>
    </xf>
    <xf numFmtId="4" fontId="40" fillId="0" borderId="537" xfId="12" applyNumberFormat="1" applyFont="1" applyFill="1" applyBorder="1" applyAlignment="1" applyProtection="1">
      <alignment vertical="center"/>
      <protection locked="0"/>
    </xf>
    <xf numFmtId="3" fontId="43" fillId="0" borderId="454" xfId="12" applyNumberFormat="1" applyFont="1" applyFill="1" applyBorder="1" applyAlignment="1" applyProtection="1">
      <alignment vertical="center"/>
      <protection locked="0"/>
    </xf>
    <xf numFmtId="4" fontId="43" fillId="0" borderId="454" xfId="12" applyNumberFormat="1" applyFont="1" applyFill="1" applyBorder="1" applyAlignment="1" applyProtection="1">
      <alignment vertical="center"/>
      <protection locked="0"/>
    </xf>
    <xf numFmtId="49" fontId="43" fillId="16" borderId="54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4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50" xfId="12" applyNumberFormat="1" applyFont="1" applyFill="1" applyBorder="1" applyAlignment="1" applyProtection="1">
      <alignment vertical="center"/>
      <protection locked="0"/>
    </xf>
    <xf numFmtId="4" fontId="43" fillId="0" borderId="550" xfId="12" applyNumberFormat="1" applyFont="1" applyFill="1" applyBorder="1" applyAlignment="1" applyProtection="1">
      <alignment horizontal="right" vertical="center"/>
      <protection locked="0"/>
    </xf>
    <xf numFmtId="3" fontId="61" fillId="6" borderId="8" xfId="12" applyNumberFormat="1" applyFont="1" applyFill="1" applyBorder="1" applyAlignment="1" applyProtection="1">
      <alignment vertical="center"/>
      <protection locked="0"/>
    </xf>
    <xf numFmtId="3" fontId="40" fillId="0" borderId="33" xfId="12" applyNumberFormat="1" applyFont="1" applyFill="1" applyBorder="1" applyAlignment="1" applyProtection="1">
      <alignment vertical="center"/>
      <protection locked="0"/>
    </xf>
    <xf numFmtId="3" fontId="40" fillId="0" borderId="24" xfId="12" applyNumberFormat="1" applyFont="1" applyFill="1" applyBorder="1" applyAlignment="1" applyProtection="1">
      <alignment horizontal="right" vertical="center"/>
      <protection locked="0"/>
    </xf>
    <xf numFmtId="3" fontId="43" fillId="0" borderId="552" xfId="12" applyNumberFormat="1" applyFont="1" applyFill="1" applyBorder="1" applyAlignment="1" applyProtection="1">
      <alignment vertical="center"/>
      <protection locked="0"/>
    </xf>
    <xf numFmtId="3" fontId="43" fillId="0" borderId="553" xfId="12" applyNumberFormat="1" applyFont="1" applyFill="1" applyBorder="1" applyAlignment="1" applyProtection="1">
      <alignment horizontal="right" vertical="center"/>
      <protection locked="0"/>
    </xf>
    <xf numFmtId="4" fontId="43" fillId="0" borderId="552" xfId="12" applyNumberFormat="1" applyFont="1" applyFill="1" applyBorder="1" applyAlignment="1" applyProtection="1">
      <alignment horizontal="right" vertical="center"/>
      <protection locked="0"/>
    </xf>
    <xf numFmtId="3" fontId="41" fillId="0" borderId="555" xfId="12" applyNumberFormat="1" applyFont="1" applyFill="1" applyBorder="1" applyAlignment="1" applyProtection="1">
      <alignment horizontal="right" vertical="center"/>
      <protection locked="0"/>
    </xf>
    <xf numFmtId="3" fontId="41" fillId="0" borderId="556" xfId="12" applyNumberFormat="1" applyFont="1" applyFill="1" applyBorder="1" applyAlignment="1" applyProtection="1">
      <alignment horizontal="right" vertical="center"/>
      <protection locked="0"/>
    </xf>
    <xf numFmtId="4" fontId="41" fillId="0" borderId="555" xfId="12" applyNumberFormat="1" applyFont="1" applyFill="1" applyBorder="1" applyAlignment="1" applyProtection="1">
      <alignment horizontal="right" vertical="center"/>
      <protection locked="0"/>
    </xf>
    <xf numFmtId="49" fontId="43" fillId="16" borderId="55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5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52" xfId="12" applyNumberFormat="1" applyFont="1" applyFill="1" applyBorder="1" applyAlignment="1" applyProtection="1">
      <alignment horizontal="right" vertical="center"/>
      <protection locked="0"/>
    </xf>
    <xf numFmtId="3" fontId="43" fillId="0" borderId="559" xfId="12" applyNumberFormat="1" applyFont="1" applyFill="1" applyBorder="1" applyAlignment="1" applyProtection="1">
      <alignment horizontal="right" vertical="center"/>
      <protection locked="0"/>
    </xf>
    <xf numFmtId="49" fontId="43" fillId="0" borderId="560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15" xfId="12" applyNumberFormat="1" applyFont="1" applyFill="1" applyBorder="1" applyAlignment="1" applyProtection="1">
      <alignment vertical="center"/>
      <protection locked="0"/>
    </xf>
    <xf numFmtId="49" fontId="43" fillId="16" borderId="56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6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6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6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6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6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3" xfId="12" applyNumberFormat="1" applyFont="1" applyFill="1" applyBorder="1" applyAlignment="1" applyProtection="1">
      <alignment vertical="center"/>
      <protection locked="0"/>
    </xf>
    <xf numFmtId="3" fontId="43" fillId="0" borderId="568" xfId="12" applyNumberFormat="1" applyFont="1" applyFill="1" applyBorder="1" applyAlignment="1" applyProtection="1">
      <alignment horizontal="right" vertical="center"/>
      <protection locked="0"/>
    </xf>
    <xf numFmtId="4" fontId="43" fillId="0" borderId="555" xfId="12" applyNumberFormat="1" applyFont="1" applyFill="1" applyBorder="1" applyAlignment="1" applyProtection="1">
      <alignment horizontal="right" vertical="center"/>
      <protection locked="0"/>
    </xf>
    <xf numFmtId="49" fontId="61" fillId="6" borderId="13" xfId="12" applyNumberFormat="1" applyFont="1" applyFill="1" applyBorder="1" applyAlignment="1" applyProtection="1">
      <alignment horizontal="center" vertical="center" wrapText="1"/>
      <protection locked="0"/>
    </xf>
    <xf numFmtId="49" fontId="61" fillId="6" borderId="182" xfId="12" applyNumberFormat="1" applyFont="1" applyFill="1" applyBorder="1" applyAlignment="1" applyProtection="1">
      <alignment horizontal="center" vertical="center" wrapText="1"/>
      <protection locked="0"/>
    </xf>
    <xf numFmtId="49" fontId="61" fillId="6" borderId="183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148" xfId="11" applyFont="1" applyBorder="1" applyAlignment="1">
      <alignment vertical="center" wrapText="1"/>
    </xf>
    <xf numFmtId="3" fontId="43" fillId="0" borderId="570" xfId="12" applyNumberFormat="1" applyFont="1" applyFill="1" applyBorder="1" applyAlignment="1" applyProtection="1">
      <alignment horizontal="right" vertical="center"/>
      <protection locked="0"/>
    </xf>
    <xf numFmtId="3" fontId="43" fillId="0" borderId="571" xfId="12" applyNumberFormat="1" applyFont="1" applyFill="1" applyBorder="1" applyAlignment="1" applyProtection="1">
      <alignment horizontal="right" vertical="center"/>
      <protection locked="0"/>
    </xf>
    <xf numFmtId="3" fontId="43" fillId="0" borderId="572" xfId="12" applyNumberFormat="1" applyFont="1" applyFill="1" applyBorder="1" applyAlignment="1" applyProtection="1">
      <alignment horizontal="right" vertical="center"/>
      <protection locked="0"/>
    </xf>
    <xf numFmtId="4" fontId="43" fillId="0" borderId="571" xfId="12" applyNumberFormat="1" applyFont="1" applyFill="1" applyBorder="1" applyAlignment="1" applyProtection="1">
      <alignment horizontal="right" vertical="center"/>
      <protection locked="0"/>
    </xf>
    <xf numFmtId="3" fontId="41" fillId="0" borderId="570" xfId="12" applyNumberFormat="1" applyFont="1" applyFill="1" applyBorder="1" applyAlignment="1" applyProtection="1">
      <alignment horizontal="right" vertical="center"/>
      <protection locked="0"/>
    </xf>
    <xf numFmtId="3" fontId="41" fillId="0" borderId="571" xfId="12" applyNumberFormat="1" applyFont="1" applyFill="1" applyBorder="1" applyAlignment="1" applyProtection="1">
      <alignment horizontal="right" vertical="center"/>
      <protection locked="0"/>
    </xf>
    <xf numFmtId="3" fontId="41" fillId="0" borderId="572" xfId="12" applyNumberFormat="1" applyFont="1" applyFill="1" applyBorder="1" applyAlignment="1" applyProtection="1">
      <alignment horizontal="right" vertical="center"/>
      <protection locked="0"/>
    </xf>
    <xf numFmtId="4" fontId="41" fillId="0" borderId="571" xfId="12" applyNumberFormat="1" applyFont="1" applyFill="1" applyBorder="1" applyAlignment="1" applyProtection="1">
      <alignment horizontal="right" vertical="center"/>
      <protection locked="0"/>
    </xf>
    <xf numFmtId="49" fontId="43" fillId="16" borderId="14" xfId="12" applyNumberFormat="1" applyFont="1" applyFill="1" applyBorder="1" applyAlignment="1" applyProtection="1">
      <alignment vertical="center" wrapText="1"/>
      <protection locked="0"/>
    </xf>
    <xf numFmtId="49" fontId="43" fillId="16" borderId="57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7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75" xfId="12" applyNumberFormat="1" applyFont="1" applyFill="1" applyBorder="1" applyAlignment="1" applyProtection="1">
      <alignment horizontal="right" vertical="center"/>
      <protection locked="0"/>
    </xf>
    <xf numFmtId="3" fontId="43" fillId="0" borderId="576" xfId="12" applyNumberFormat="1" applyFont="1" applyFill="1" applyBorder="1" applyAlignment="1" applyProtection="1">
      <alignment horizontal="right" vertical="center"/>
      <protection locked="0"/>
    </xf>
    <xf numFmtId="3" fontId="43" fillId="0" borderId="577" xfId="12" applyNumberFormat="1" applyFont="1" applyFill="1" applyBorder="1" applyAlignment="1" applyProtection="1">
      <alignment horizontal="right" vertical="center"/>
      <protection locked="0"/>
    </xf>
    <xf numFmtId="4" fontId="43" fillId="0" borderId="576" xfId="12" applyNumberFormat="1" applyFont="1" applyFill="1" applyBorder="1" applyAlignment="1" applyProtection="1">
      <alignment horizontal="right" vertical="center"/>
      <protection locked="0"/>
    </xf>
    <xf numFmtId="49" fontId="43" fillId="16" borderId="57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7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8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8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8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8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84" xfId="12" applyNumberFormat="1" applyFont="1" applyFill="1" applyBorder="1" applyAlignment="1" applyProtection="1">
      <alignment horizontal="right" vertical="center"/>
      <protection locked="0"/>
    </xf>
    <xf numFmtId="3" fontId="43" fillId="0" borderId="585" xfId="12" applyNumberFormat="1" applyFont="1" applyFill="1" applyBorder="1" applyAlignment="1" applyProtection="1">
      <alignment horizontal="right" vertical="center"/>
      <protection locked="0"/>
    </xf>
    <xf numFmtId="3" fontId="43" fillId="0" borderId="586" xfId="12" applyNumberFormat="1" applyFont="1" applyFill="1" applyBorder="1" applyAlignment="1" applyProtection="1">
      <alignment horizontal="right" vertical="center"/>
      <protection locked="0"/>
    </xf>
    <xf numFmtId="4" fontId="43" fillId="0" borderId="585" xfId="12" applyNumberFormat="1" applyFont="1" applyFill="1" applyBorder="1" applyAlignment="1" applyProtection="1">
      <alignment horizontal="right" vertical="center"/>
      <protection locked="0"/>
    </xf>
    <xf numFmtId="0" fontId="89" fillId="0" borderId="13" xfId="11" applyFont="1" applyBorder="1" applyAlignment="1">
      <alignment vertical="center" wrapText="1"/>
    </xf>
    <xf numFmtId="49" fontId="43" fillId="16" borderId="58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8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89" xfId="12" applyNumberFormat="1" applyFont="1" applyFill="1" applyBorder="1" applyAlignment="1" applyProtection="1">
      <alignment horizontal="right" vertical="center"/>
      <protection locked="0"/>
    </xf>
    <xf numFmtId="49" fontId="43" fillId="16" borderId="59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9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9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94" xfId="12" applyNumberFormat="1" applyFont="1" applyFill="1" applyBorder="1" applyAlignment="1" applyProtection="1">
      <alignment vertical="center" wrapText="1"/>
      <protection locked="0"/>
    </xf>
    <xf numFmtId="49" fontId="43" fillId="16" borderId="595" xfId="12" applyNumberFormat="1" applyFont="1" applyFill="1" applyBorder="1" applyAlignment="1" applyProtection="1">
      <alignment vertical="center" wrapText="1"/>
      <protection locked="0"/>
    </xf>
    <xf numFmtId="49" fontId="43" fillId="16" borderId="596" xfId="12" applyNumberFormat="1" applyFont="1" applyFill="1" applyBorder="1" applyAlignment="1" applyProtection="1">
      <alignment vertical="center" wrapText="1"/>
      <protection locked="0"/>
    </xf>
    <xf numFmtId="3" fontId="43" fillId="0" borderId="379" xfId="12" applyNumberFormat="1" applyFont="1" applyFill="1" applyBorder="1" applyAlignment="1" applyProtection="1">
      <alignment horizontal="right" vertical="center"/>
      <protection locked="0"/>
    </xf>
    <xf numFmtId="3" fontId="43" fillId="0" borderId="205" xfId="12" applyNumberFormat="1" applyFont="1" applyFill="1" applyBorder="1" applyAlignment="1" applyProtection="1">
      <alignment horizontal="right" vertical="center"/>
      <protection locked="0"/>
    </xf>
    <xf numFmtId="3" fontId="43" fillId="0" borderId="78" xfId="12" applyNumberFormat="1" applyFont="1" applyFill="1" applyBorder="1" applyAlignment="1" applyProtection="1">
      <alignment horizontal="right" vertical="center"/>
      <protection locked="0"/>
    </xf>
    <xf numFmtId="4" fontId="43" fillId="0" borderId="205" xfId="12" applyNumberFormat="1" applyFont="1" applyFill="1" applyBorder="1" applyAlignment="1" applyProtection="1">
      <alignment horizontal="right" vertical="center"/>
      <protection locked="0"/>
    </xf>
    <xf numFmtId="3" fontId="43" fillId="0" borderId="597" xfId="12" applyNumberFormat="1" applyFont="1" applyFill="1" applyBorder="1" applyAlignment="1" applyProtection="1">
      <alignment horizontal="right" vertical="center"/>
      <protection locked="0"/>
    </xf>
    <xf numFmtId="3" fontId="43" fillId="0" borderId="598" xfId="12" applyNumberFormat="1" applyFont="1" applyFill="1" applyBorder="1" applyAlignment="1" applyProtection="1">
      <alignment horizontal="right" vertical="center"/>
      <protection locked="0"/>
    </xf>
    <xf numFmtId="10" fontId="43" fillId="0" borderId="600" xfId="12" applyNumberFormat="1" applyFont="1" applyFill="1" applyBorder="1" applyAlignment="1" applyProtection="1">
      <alignment horizontal="right" vertical="center"/>
      <protection locked="0"/>
    </xf>
    <xf numFmtId="49" fontId="43" fillId="0" borderId="601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602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58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603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1" xfId="12" applyNumberFormat="1" applyFont="1" applyFill="1" applyBorder="1" applyAlignment="1" applyProtection="1">
      <alignment horizontal="right" vertical="center"/>
      <protection locked="0"/>
    </xf>
    <xf numFmtId="3" fontId="43" fillId="0" borderId="1" xfId="12" applyNumberFormat="1" applyFont="1" applyFill="1" applyBorder="1" applyAlignment="1" applyProtection="1">
      <alignment horizontal="right" vertical="center"/>
      <protection locked="0"/>
    </xf>
    <xf numFmtId="10" fontId="43" fillId="0" borderId="7" xfId="12" applyNumberFormat="1" applyFont="1" applyFill="1" applyBorder="1" applyAlignment="1" applyProtection="1">
      <alignment horizontal="right" vertical="center"/>
      <protection locked="0"/>
    </xf>
    <xf numFmtId="49" fontId="43" fillId="0" borderId="60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0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0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0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0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09" xfId="12" applyNumberFormat="1" applyFont="1" applyFill="1" applyBorder="1" applyAlignment="1" applyProtection="1">
      <alignment horizontal="right" vertical="center"/>
      <protection locked="0"/>
    </xf>
    <xf numFmtId="4" fontId="43" fillId="0" borderId="610" xfId="12" applyNumberFormat="1" applyFont="1" applyFill="1" applyBorder="1" applyAlignment="1" applyProtection="1">
      <alignment horizontal="right" vertical="center"/>
      <protection locked="0"/>
    </xf>
    <xf numFmtId="49" fontId="43" fillId="16" borderId="61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1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0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1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1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1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1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6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9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9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94" xfId="12" applyNumberFormat="1" applyFont="1" applyFill="1" applyBorder="1" applyAlignment="1" applyProtection="1">
      <alignment horizontal="right" vertical="center"/>
      <protection locked="0"/>
    </xf>
    <xf numFmtId="3" fontId="43" fillId="0" borderId="596" xfId="12" applyNumberFormat="1" applyFont="1" applyFill="1" applyBorder="1" applyAlignment="1" applyProtection="1">
      <alignment horizontal="right" vertical="center"/>
      <protection locked="0"/>
    </xf>
    <xf numFmtId="3" fontId="40" fillId="0" borderId="23" xfId="12" applyNumberFormat="1" applyFont="1" applyFill="1" applyBorder="1" applyAlignment="1" applyProtection="1">
      <alignment vertical="center"/>
      <protection locked="0"/>
    </xf>
    <xf numFmtId="4" fontId="40" fillId="0" borderId="15" xfId="12" applyNumberFormat="1" applyFont="1" applyFill="1" applyBorder="1" applyAlignment="1" applyProtection="1">
      <alignment vertical="center"/>
      <protection locked="0"/>
    </xf>
    <xf numFmtId="3" fontId="43" fillId="0" borderId="584" xfId="12" applyNumberFormat="1" applyFont="1" applyFill="1" applyBorder="1" applyAlignment="1" applyProtection="1">
      <alignment vertical="center"/>
      <protection locked="0"/>
    </xf>
    <xf numFmtId="3" fontId="43" fillId="0" borderId="585" xfId="12" applyNumberFormat="1" applyFont="1" applyFill="1" applyBorder="1" applyAlignment="1" applyProtection="1">
      <alignment vertical="center"/>
      <protection locked="0"/>
    </xf>
    <xf numFmtId="4" fontId="43" fillId="0" borderId="585" xfId="12" applyNumberFormat="1" applyFont="1" applyFill="1" applyBorder="1" applyAlignment="1" applyProtection="1">
      <alignment vertical="center"/>
      <protection locked="0"/>
    </xf>
    <xf numFmtId="3" fontId="43" fillId="0" borderId="23" xfId="12" applyNumberFormat="1" applyFont="1" applyFill="1" applyBorder="1" applyAlignment="1" applyProtection="1">
      <alignment vertical="center"/>
      <protection locked="0"/>
    </xf>
    <xf numFmtId="3" fontId="43" fillId="0" borderId="619" xfId="12" applyNumberFormat="1" applyFont="1" applyFill="1" applyBorder="1" applyAlignment="1" applyProtection="1">
      <alignment vertical="center"/>
      <protection locked="0"/>
    </xf>
    <xf numFmtId="3" fontId="43" fillId="0" borderId="620" xfId="12" applyNumberFormat="1" applyFont="1" applyFill="1" applyBorder="1" applyAlignment="1" applyProtection="1">
      <alignment vertical="center"/>
      <protection locked="0"/>
    </xf>
    <xf numFmtId="3" fontId="43" fillId="0" borderId="621" xfId="12" applyNumberFormat="1" applyFont="1" applyFill="1" applyBorder="1" applyAlignment="1" applyProtection="1">
      <alignment horizontal="right" vertical="center"/>
      <protection locked="0"/>
    </xf>
    <xf numFmtId="4" fontId="43" fillId="0" borderId="620" xfId="12" applyNumberFormat="1" applyFont="1" applyFill="1" applyBorder="1" applyAlignment="1" applyProtection="1">
      <alignment horizontal="right" vertical="center"/>
      <protection locked="0"/>
    </xf>
    <xf numFmtId="49" fontId="43" fillId="16" borderId="62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2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24" xfId="12" applyNumberFormat="1" applyFont="1" applyFill="1" applyBorder="1" applyAlignment="1" applyProtection="1">
      <alignment vertical="center"/>
      <protection locked="0"/>
    </xf>
    <xf numFmtId="2" fontId="43" fillId="0" borderId="590" xfId="12" applyNumberFormat="1" applyFont="1" applyFill="1" applyBorder="1" applyAlignment="1" applyProtection="1">
      <alignment horizontal="left" vertical="center" wrapText="1"/>
      <protection locked="0"/>
    </xf>
    <xf numFmtId="2" fontId="43" fillId="0" borderId="62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32" xfId="12" applyNumberFormat="1" applyFont="1" applyFill="1" applyBorder="1" applyAlignment="1" applyProtection="1">
      <alignment vertical="center"/>
      <protection locked="0"/>
    </xf>
    <xf numFmtId="49" fontId="43" fillId="16" borderId="59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2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586" xfId="12" applyNumberFormat="1" applyFont="1" applyFill="1" applyBorder="1" applyAlignment="1" applyProtection="1">
      <alignment vertical="center"/>
      <protection locked="0"/>
    </xf>
    <xf numFmtId="49" fontId="43" fillId="16" borderId="62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28" xfId="12" applyNumberFormat="1" applyFont="1" applyFill="1" applyBorder="1" applyAlignment="1" applyProtection="1">
      <alignment horizontal="left" vertical="center" wrapText="1"/>
      <protection locked="0"/>
    </xf>
    <xf numFmtId="4" fontId="43" fillId="0" borderId="15" xfId="12" applyNumberFormat="1" applyFont="1" applyFill="1" applyBorder="1" applyAlignment="1" applyProtection="1">
      <alignment vertical="center"/>
      <protection locked="0"/>
    </xf>
    <xf numFmtId="49" fontId="43" fillId="16" borderId="62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30" xfId="12" applyNumberFormat="1" applyFont="1" applyFill="1" applyBorder="1" applyAlignment="1" applyProtection="1">
      <alignment vertical="center"/>
      <protection locked="0"/>
    </xf>
    <xf numFmtId="3" fontId="43" fillId="0" borderId="631" xfId="12" applyNumberFormat="1" applyFont="1" applyFill="1" applyBorder="1" applyAlignment="1" applyProtection="1">
      <alignment vertical="center"/>
      <protection locked="0"/>
    </xf>
    <xf numFmtId="3" fontId="43" fillId="0" borderId="632" xfId="12" applyNumberFormat="1" applyFont="1" applyFill="1" applyBorder="1" applyAlignment="1" applyProtection="1">
      <alignment horizontal="right" vertical="center"/>
      <protection locked="0"/>
    </xf>
    <xf numFmtId="4" fontId="43" fillId="0" borderId="631" xfId="12" applyNumberFormat="1" applyFont="1" applyFill="1" applyBorder="1" applyAlignment="1" applyProtection="1">
      <alignment horizontal="right" vertical="center"/>
      <protection locked="0"/>
    </xf>
    <xf numFmtId="49" fontId="43" fillId="16" borderId="63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3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35" xfId="12" applyNumberFormat="1" applyFont="1" applyFill="1" applyBorder="1" applyAlignment="1" applyProtection="1">
      <alignment horizontal="center" vertical="center" wrapText="1"/>
      <protection locked="0"/>
    </xf>
    <xf numFmtId="3" fontId="41" fillId="0" borderId="636" xfId="12" applyNumberFormat="1" applyFont="1" applyFill="1" applyBorder="1" applyAlignment="1" applyProtection="1">
      <alignment horizontal="right" vertical="center"/>
      <protection locked="0"/>
    </xf>
    <xf numFmtId="3" fontId="41" fillId="0" borderId="631" xfId="12" applyNumberFormat="1" applyFont="1" applyFill="1" applyBorder="1" applyAlignment="1" applyProtection="1">
      <alignment horizontal="right" vertical="center"/>
      <protection locked="0"/>
    </xf>
    <xf numFmtId="49" fontId="43" fillId="16" borderId="637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638" xfId="12" applyNumberFormat="1" applyFont="1" applyFill="1" applyBorder="1" applyAlignment="1" applyProtection="1">
      <alignment horizontal="right" vertical="center"/>
      <protection locked="0"/>
    </xf>
    <xf numFmtId="3" fontId="43" fillId="0" borderId="639" xfId="12" applyNumberFormat="1" applyFont="1" applyFill="1" applyBorder="1" applyAlignment="1" applyProtection="1">
      <alignment horizontal="right" vertical="center"/>
      <protection locked="0"/>
    </xf>
    <xf numFmtId="49" fontId="43" fillId="16" borderId="640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641" xfId="12" applyNumberFormat="1" applyFont="1" applyFill="1" applyBorder="1" applyAlignment="1" applyProtection="1">
      <alignment horizontal="right" vertical="center"/>
      <protection locked="0"/>
    </xf>
    <xf numFmtId="3" fontId="43" fillId="0" borderId="642" xfId="12" applyNumberFormat="1" applyFont="1" applyFill="1" applyBorder="1" applyAlignment="1" applyProtection="1">
      <alignment horizontal="right" vertical="center"/>
      <protection locked="0"/>
    </xf>
    <xf numFmtId="49" fontId="43" fillId="16" borderId="64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44" xfId="12" applyNumberFormat="1" applyFont="1" applyFill="1" applyBorder="1" applyAlignment="1" applyProtection="1">
      <alignment horizontal="left" vertical="center" wrapText="1"/>
      <protection locked="0"/>
    </xf>
    <xf numFmtId="4" fontId="43" fillId="0" borderId="641" xfId="12" applyNumberFormat="1" applyFont="1" applyFill="1" applyBorder="1" applyAlignment="1" applyProtection="1">
      <alignment horizontal="right" vertical="center"/>
      <protection locked="0"/>
    </xf>
    <xf numFmtId="49" fontId="43" fillId="16" borderId="645" xfId="12" applyNumberFormat="1" applyFont="1" applyFill="1" applyBorder="1" applyAlignment="1" applyProtection="1">
      <alignment horizontal="center" vertical="center" wrapText="1"/>
      <protection locked="0"/>
    </xf>
    <xf numFmtId="4" fontId="43" fillId="0" borderId="638" xfId="12" applyNumberFormat="1" applyFont="1" applyFill="1" applyBorder="1" applyAlignment="1" applyProtection="1">
      <alignment horizontal="right" vertical="center"/>
      <protection locked="0"/>
    </xf>
    <xf numFmtId="49" fontId="43" fillId="16" borderId="646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4" xfId="12" applyNumberFormat="1" applyFont="1" applyFill="1" applyBorder="1" applyAlignment="1" applyProtection="1">
      <alignment vertical="center"/>
      <protection locked="0"/>
    </xf>
    <xf numFmtId="49" fontId="43" fillId="16" borderId="64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4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49" xfId="12" applyNumberFormat="1" applyFont="1" applyFill="1" applyBorder="1" applyAlignment="1" applyProtection="1">
      <alignment vertical="center"/>
      <protection locked="0"/>
    </xf>
    <xf numFmtId="3" fontId="43" fillId="0" borderId="638" xfId="12" applyNumberFormat="1" applyFont="1" applyFill="1" applyBorder="1" applyAlignment="1" applyProtection="1">
      <alignment vertical="center"/>
      <protection locked="0"/>
    </xf>
    <xf numFmtId="3" fontId="43" fillId="0" borderId="11" xfId="12" applyNumberFormat="1" applyFont="1" applyFill="1" applyBorder="1" applyAlignment="1" applyProtection="1">
      <alignment vertical="center"/>
      <protection locked="0"/>
    </xf>
    <xf numFmtId="3" fontId="43" fillId="0" borderId="253" xfId="12" applyNumberFormat="1" applyFont="1" applyFill="1" applyBorder="1" applyAlignment="1" applyProtection="1">
      <alignment vertical="center"/>
      <protection locked="0"/>
    </xf>
    <xf numFmtId="49" fontId="43" fillId="16" borderId="65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5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5" xfId="12" applyNumberFormat="1" applyFont="1" applyFill="1" applyBorder="1" applyAlignment="1" applyProtection="1">
      <alignment horizontal="center" vertical="center" wrapText="1"/>
      <protection locked="0"/>
    </xf>
    <xf numFmtId="10" fontId="43" fillId="13" borderId="7" xfId="12" applyNumberFormat="1" applyFont="1" applyFill="1" applyBorder="1" applyAlignment="1" applyProtection="1">
      <alignment horizontal="right" vertical="center"/>
      <protection locked="0"/>
    </xf>
    <xf numFmtId="3" fontId="40" fillId="0" borderId="9" xfId="12" applyNumberFormat="1" applyFont="1" applyFill="1" applyBorder="1" applyAlignment="1" applyProtection="1">
      <alignment vertical="center"/>
      <protection locked="0"/>
    </xf>
    <xf numFmtId="3" fontId="43" fillId="0" borderId="652" xfId="12" applyNumberFormat="1" applyFont="1" applyFill="1" applyBorder="1" applyAlignment="1" applyProtection="1">
      <alignment horizontal="right" vertical="center"/>
      <protection locked="0"/>
    </xf>
    <xf numFmtId="3" fontId="43" fillId="0" borderId="641" xfId="12" applyNumberFormat="1" applyFont="1" applyFill="1" applyBorder="1" applyAlignment="1" applyProtection="1">
      <alignment vertical="center"/>
      <protection locked="0"/>
    </xf>
    <xf numFmtId="3" fontId="61" fillId="4" borderId="33" xfId="12" applyNumberFormat="1" applyFont="1" applyFill="1" applyBorder="1" applyAlignment="1" applyProtection="1">
      <alignment horizontal="right" vertical="center"/>
      <protection locked="0"/>
    </xf>
    <xf numFmtId="3" fontId="61" fillId="4" borderId="24" xfId="12" applyNumberFormat="1" applyFont="1" applyFill="1" applyBorder="1" applyAlignment="1" applyProtection="1">
      <alignment horizontal="right" vertical="center"/>
      <protection locked="0"/>
    </xf>
    <xf numFmtId="4" fontId="61" fillId="4" borderId="33" xfId="12" applyNumberFormat="1" applyFont="1" applyFill="1" applyBorder="1" applyAlignment="1" applyProtection="1">
      <alignment horizontal="right" vertical="center"/>
      <protection locked="0"/>
    </xf>
    <xf numFmtId="4" fontId="43" fillId="4" borderId="15" xfId="12" applyNumberFormat="1" applyFont="1" applyFill="1" applyBorder="1" applyAlignment="1" applyProtection="1">
      <alignment horizontal="right" vertical="center"/>
      <protection locked="0"/>
    </xf>
    <xf numFmtId="49" fontId="43" fillId="19" borderId="650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166" xfId="12" applyNumberFormat="1" applyFont="1" applyFill="1" applyBorder="1" applyAlignment="1" applyProtection="1">
      <alignment horizontal="left" vertical="center" wrapText="1"/>
      <protection locked="0"/>
    </xf>
    <xf numFmtId="3" fontId="43" fillId="4" borderId="23" xfId="12" applyNumberFormat="1" applyFont="1" applyFill="1" applyBorder="1" applyAlignment="1" applyProtection="1">
      <alignment horizontal="right" vertical="center"/>
      <protection locked="0"/>
    </xf>
    <xf numFmtId="3" fontId="40" fillId="0" borderId="585" xfId="12" applyNumberFormat="1" applyFont="1" applyFill="1" applyBorder="1" applyAlignment="1" applyProtection="1">
      <alignment horizontal="right" vertical="center"/>
      <protection locked="0"/>
    </xf>
    <xf numFmtId="3" fontId="40" fillId="0" borderId="624" xfId="12" applyNumberFormat="1" applyFont="1" applyFill="1" applyBorder="1" applyAlignment="1" applyProtection="1">
      <alignment horizontal="right" vertical="center"/>
      <protection locked="0"/>
    </xf>
    <xf numFmtId="4" fontId="40" fillId="0" borderId="585" xfId="12" applyNumberFormat="1" applyFont="1" applyFill="1" applyBorder="1" applyAlignment="1" applyProtection="1">
      <alignment horizontal="right" vertical="center"/>
      <protection locked="0"/>
    </xf>
    <xf numFmtId="10" fontId="43" fillId="0" borderId="655" xfId="12" applyNumberFormat="1" applyFont="1" applyFill="1" applyBorder="1" applyAlignment="1" applyProtection="1">
      <alignment horizontal="right" vertical="center"/>
      <protection locked="0"/>
    </xf>
    <xf numFmtId="49" fontId="43" fillId="16" borderId="65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5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58" xfId="12" applyNumberFormat="1" applyFont="1" applyFill="1" applyBorder="1" applyAlignment="1" applyProtection="1">
      <alignment horizontal="right" vertical="center"/>
      <protection locked="0"/>
    </xf>
    <xf numFmtId="4" fontId="61" fillId="6" borderId="11" xfId="12" applyNumberFormat="1" applyFont="1" applyFill="1" applyBorder="1" applyAlignment="1" applyProtection="1">
      <alignment horizontal="right" vertical="center"/>
      <protection locked="0"/>
    </xf>
    <xf numFmtId="3" fontId="40" fillId="0" borderId="38" xfId="12" applyNumberFormat="1" applyFont="1" applyFill="1" applyBorder="1" applyAlignment="1" applyProtection="1">
      <alignment horizontal="right" vertical="center"/>
      <protection locked="0"/>
    </xf>
    <xf numFmtId="3" fontId="40" fillId="0" borderId="98" xfId="12" applyNumberFormat="1" applyFont="1" applyFill="1" applyBorder="1" applyAlignment="1" applyProtection="1">
      <alignment horizontal="right" vertical="center"/>
      <protection locked="0"/>
    </xf>
    <xf numFmtId="3" fontId="43" fillId="0" borderId="659" xfId="12" applyNumberFormat="1" applyFont="1" applyFill="1" applyBorder="1" applyAlignment="1" applyProtection="1">
      <alignment horizontal="right" vertical="center"/>
      <protection locked="0"/>
    </xf>
    <xf numFmtId="3" fontId="43" fillId="0" borderId="660" xfId="12" applyNumberFormat="1" applyFont="1" applyFill="1" applyBorder="1" applyAlignment="1" applyProtection="1">
      <alignment horizontal="right" vertical="center"/>
      <protection locked="0"/>
    </xf>
    <xf numFmtId="49" fontId="43" fillId="16" borderId="66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24" xfId="12" applyNumberFormat="1" applyFont="1" applyFill="1" applyBorder="1" applyAlignment="1" applyProtection="1">
      <alignment horizontal="right" vertical="center"/>
      <protection locked="0"/>
    </xf>
    <xf numFmtId="3" fontId="40" fillId="0" borderId="663" xfId="12" applyNumberFormat="1" applyFont="1" applyFill="1" applyBorder="1" applyAlignment="1" applyProtection="1">
      <alignment horizontal="right" vertical="center"/>
      <protection locked="0"/>
    </xf>
    <xf numFmtId="3" fontId="40" fillId="0" borderId="664" xfId="12" applyNumberFormat="1" applyFont="1" applyFill="1" applyBorder="1" applyAlignment="1" applyProtection="1">
      <alignment horizontal="right" vertical="center"/>
      <protection locked="0"/>
    </xf>
    <xf numFmtId="4" fontId="40" fillId="0" borderId="665" xfId="12" applyNumberFormat="1" applyFont="1" applyFill="1" applyBorder="1" applyAlignment="1" applyProtection="1">
      <alignment horizontal="right" vertical="center"/>
      <protection locked="0"/>
    </xf>
    <xf numFmtId="3" fontId="43" fillId="0" borderId="666" xfId="12" applyNumberFormat="1" applyFont="1" applyFill="1" applyBorder="1" applyAlignment="1" applyProtection="1">
      <alignment horizontal="right" vertical="center"/>
      <protection locked="0"/>
    </xf>
    <xf numFmtId="3" fontId="43" fillId="0" borderId="667" xfId="12" applyNumberFormat="1" applyFont="1" applyFill="1" applyBorder="1" applyAlignment="1" applyProtection="1">
      <alignment horizontal="right" vertical="center"/>
      <protection locked="0"/>
    </xf>
    <xf numFmtId="49" fontId="43" fillId="16" borderId="66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6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70" xfId="12" applyNumberFormat="1" applyFont="1" applyFill="1" applyBorder="1" applyAlignment="1" applyProtection="1">
      <alignment horizontal="right" vertical="center"/>
      <protection locked="0"/>
    </xf>
    <xf numFmtId="4" fontId="43" fillId="0" borderId="671" xfId="12" applyNumberFormat="1" applyFont="1" applyFill="1" applyBorder="1" applyAlignment="1" applyProtection="1">
      <alignment horizontal="right" vertical="center"/>
      <protection locked="0"/>
    </xf>
    <xf numFmtId="3" fontId="61" fillId="6" borderId="672" xfId="12" applyNumberFormat="1" applyFont="1" applyFill="1" applyBorder="1" applyAlignment="1" applyProtection="1">
      <alignment horizontal="right" vertical="center"/>
      <protection locked="0"/>
    </xf>
    <xf numFmtId="3" fontId="61" fillId="6" borderId="673" xfId="12" applyNumberFormat="1" applyFont="1" applyFill="1" applyBorder="1" applyAlignment="1" applyProtection="1">
      <alignment horizontal="right" vertical="center"/>
      <protection locked="0"/>
    </xf>
    <xf numFmtId="3" fontId="40" fillId="0" borderId="674" xfId="12" applyNumberFormat="1" applyFont="1" applyFill="1" applyBorder="1" applyAlignment="1" applyProtection="1">
      <alignment horizontal="right" vertical="center"/>
      <protection locked="0"/>
    </xf>
    <xf numFmtId="3" fontId="40" fillId="0" borderId="675" xfId="12" applyNumberFormat="1" applyFont="1" applyFill="1" applyBorder="1" applyAlignment="1" applyProtection="1">
      <alignment horizontal="right" vertical="center"/>
      <protection locked="0"/>
    </xf>
    <xf numFmtId="49" fontId="43" fillId="16" borderId="67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7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78" xfId="12" applyNumberFormat="1" applyFont="1" applyFill="1" applyBorder="1" applyAlignment="1" applyProtection="1">
      <alignment horizontal="right" vertical="center"/>
      <protection locked="0"/>
    </xf>
    <xf numFmtId="3" fontId="61" fillId="6" borderId="679" xfId="12" applyNumberFormat="1" applyFont="1" applyFill="1" applyBorder="1" applyAlignment="1" applyProtection="1">
      <alignment horizontal="right" vertical="center"/>
      <protection locked="0"/>
    </xf>
    <xf numFmtId="4" fontId="61" fillId="6" borderId="680" xfId="12" applyNumberFormat="1" applyFont="1" applyFill="1" applyBorder="1" applyAlignment="1" applyProtection="1">
      <alignment horizontal="right" vertical="center"/>
      <protection locked="0"/>
    </xf>
    <xf numFmtId="3" fontId="40" fillId="0" borderId="681" xfId="12" applyNumberFormat="1" applyFont="1" applyFill="1" applyBorder="1" applyAlignment="1" applyProtection="1">
      <alignment horizontal="right" vertical="center"/>
      <protection locked="0"/>
    </xf>
    <xf numFmtId="4" fontId="40" fillId="0" borderId="681" xfId="12" applyNumberFormat="1" applyFont="1" applyFill="1" applyBorder="1" applyAlignment="1" applyProtection="1">
      <alignment horizontal="right" vertical="center"/>
      <protection locked="0"/>
    </xf>
    <xf numFmtId="4" fontId="43" fillId="0" borderId="666" xfId="12" applyNumberFormat="1" applyFont="1" applyFill="1" applyBorder="1" applyAlignment="1" applyProtection="1">
      <alignment horizontal="right" vertical="center"/>
      <protection locked="0"/>
    </xf>
    <xf numFmtId="49" fontId="43" fillId="16" borderId="68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8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18" xfId="12" applyNumberFormat="1" applyFont="1" applyFill="1" applyBorder="1" applyAlignment="1" applyProtection="1">
      <alignment horizontal="right" vertical="center"/>
      <protection locked="0"/>
    </xf>
    <xf numFmtId="10" fontId="43" fillId="0" borderId="567" xfId="12" applyNumberFormat="1" applyFont="1" applyFill="1" applyBorder="1" applyAlignment="1" applyProtection="1">
      <alignment horizontal="right" vertical="center"/>
      <protection locked="0"/>
    </xf>
    <xf numFmtId="4" fontId="40" fillId="0" borderId="674" xfId="12" applyNumberFormat="1" applyFont="1" applyFill="1" applyBorder="1" applyAlignment="1" applyProtection="1">
      <alignment horizontal="right" vertical="center"/>
      <protection locked="0"/>
    </xf>
    <xf numFmtId="3" fontId="61" fillId="6" borderId="680" xfId="12" applyNumberFormat="1" applyFont="1" applyFill="1" applyBorder="1" applyAlignment="1" applyProtection="1">
      <alignment horizontal="right" vertical="center"/>
      <protection locked="0"/>
    </xf>
    <xf numFmtId="4" fontId="61" fillId="6" borderId="685" xfId="12" applyNumberFormat="1" applyFont="1" applyFill="1" applyBorder="1" applyAlignment="1" applyProtection="1">
      <alignment horizontal="right" vertical="center"/>
      <protection locked="0"/>
    </xf>
    <xf numFmtId="10" fontId="61" fillId="6" borderId="686" xfId="12" applyNumberFormat="1" applyFont="1" applyFill="1" applyBorder="1" applyAlignment="1" applyProtection="1">
      <alignment horizontal="right" vertical="center"/>
      <protection locked="0"/>
    </xf>
    <xf numFmtId="49" fontId="43" fillId="16" borderId="688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689" xfId="12" applyNumberFormat="1" applyFont="1" applyFill="1" applyBorder="1" applyAlignment="1" applyProtection="1">
      <alignment horizontal="right" vertical="center"/>
      <protection locked="0"/>
    </xf>
    <xf numFmtId="3" fontId="40" fillId="0" borderId="690" xfId="12" applyNumberFormat="1" applyFont="1" applyFill="1" applyBorder="1" applyAlignment="1" applyProtection="1">
      <alignment horizontal="right" vertical="center"/>
      <protection locked="0"/>
    </xf>
    <xf numFmtId="3" fontId="40" fillId="0" borderId="691" xfId="12" applyNumberFormat="1" applyFont="1" applyFill="1" applyBorder="1" applyAlignment="1" applyProtection="1">
      <alignment horizontal="right" vertical="center"/>
      <protection locked="0"/>
    </xf>
    <xf numFmtId="3" fontId="43" fillId="0" borderId="689" xfId="12" applyNumberFormat="1" applyFont="1" applyFill="1" applyBorder="1" applyAlignment="1" applyProtection="1">
      <alignment horizontal="right" vertical="center"/>
      <protection locked="0"/>
    </xf>
    <xf numFmtId="3" fontId="43" fillId="0" borderId="691" xfId="12" applyNumberFormat="1" applyFont="1" applyFill="1" applyBorder="1" applyAlignment="1" applyProtection="1">
      <alignment horizontal="right" vertical="center"/>
      <protection locked="0"/>
    </xf>
    <xf numFmtId="10" fontId="43" fillId="0" borderId="693" xfId="12" applyNumberFormat="1" applyFont="1" applyFill="1" applyBorder="1" applyAlignment="1" applyProtection="1">
      <alignment horizontal="right" vertical="center"/>
      <protection locked="0"/>
    </xf>
    <xf numFmtId="3" fontId="40" fillId="0" borderId="694" xfId="12" applyNumberFormat="1" applyFont="1" applyFill="1" applyBorder="1" applyAlignment="1" applyProtection="1">
      <alignment horizontal="right" vertical="center"/>
      <protection locked="0"/>
    </xf>
    <xf numFmtId="3" fontId="40" fillId="0" borderId="166" xfId="12" applyNumberFormat="1" applyFont="1" applyFill="1" applyBorder="1" applyAlignment="1" applyProtection="1">
      <alignment horizontal="right" vertical="center"/>
      <protection locked="0"/>
    </xf>
    <xf numFmtId="10" fontId="43" fillId="0" borderId="33" xfId="12" applyNumberFormat="1" applyFont="1" applyFill="1" applyBorder="1" applyAlignment="1" applyProtection="1">
      <alignment horizontal="right" vertical="center"/>
      <protection locked="0"/>
    </xf>
    <xf numFmtId="10" fontId="43" fillId="0" borderId="585" xfId="12" applyNumberFormat="1" applyFont="1" applyFill="1" applyBorder="1" applyAlignment="1" applyProtection="1">
      <alignment horizontal="right" vertical="center"/>
      <protection locked="0"/>
    </xf>
    <xf numFmtId="49" fontId="43" fillId="16" borderId="694" xfId="12" applyNumberFormat="1" applyFont="1" applyFill="1" applyBorder="1" applyAlignment="1" applyProtection="1">
      <alignment vertical="center" wrapText="1"/>
      <protection locked="0"/>
    </xf>
    <xf numFmtId="3" fontId="41" fillId="0" borderId="253" xfId="12" applyNumberFormat="1" applyFont="1" applyFill="1" applyBorder="1" applyAlignment="1" applyProtection="1">
      <alignment horizontal="right" vertical="center"/>
      <protection locked="0"/>
    </xf>
    <xf numFmtId="3" fontId="41" fillId="0" borderId="695" xfId="12" applyNumberFormat="1" applyFont="1" applyFill="1" applyBorder="1" applyAlignment="1" applyProtection="1">
      <alignment horizontal="right" vertical="center"/>
      <protection locked="0"/>
    </xf>
    <xf numFmtId="4" fontId="41" fillId="0" borderId="585" xfId="12" applyNumberFormat="1" applyFont="1" applyFill="1" applyBorder="1" applyAlignment="1" applyProtection="1">
      <alignment horizontal="right" vertical="center"/>
      <protection locked="0"/>
    </xf>
    <xf numFmtId="10" fontId="41" fillId="0" borderId="585" xfId="12" applyNumberFormat="1" applyFont="1" applyFill="1" applyBorder="1" applyAlignment="1" applyProtection="1">
      <alignment horizontal="right" vertical="center"/>
      <protection locked="0"/>
    </xf>
    <xf numFmtId="3" fontId="43" fillId="0" borderId="696" xfId="12" applyNumberFormat="1" applyFont="1" applyFill="1" applyBorder="1" applyAlignment="1" applyProtection="1">
      <alignment horizontal="right" vertical="center"/>
      <protection locked="0"/>
    </xf>
    <xf numFmtId="3" fontId="43" fillId="0" borderId="671" xfId="12" applyNumberFormat="1" applyFont="1" applyFill="1" applyBorder="1" applyAlignment="1" applyProtection="1">
      <alignment horizontal="right" vertical="center"/>
      <protection locked="0"/>
    </xf>
    <xf numFmtId="49" fontId="43" fillId="16" borderId="69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9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9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0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702" xfId="12" applyNumberFormat="1" applyFont="1" applyFill="1" applyBorder="1" applyAlignment="1" applyProtection="1">
      <alignment horizontal="right" vertical="center"/>
      <protection locked="0"/>
    </xf>
    <xf numFmtId="3" fontId="43" fillId="0" borderId="253" xfId="12" applyNumberFormat="1" applyFont="1" applyFill="1" applyBorder="1" applyAlignment="1" applyProtection="1">
      <alignment horizontal="right" vertical="center"/>
      <protection locked="0"/>
    </xf>
    <xf numFmtId="49" fontId="61" fillId="18" borderId="686" xfId="12" applyNumberFormat="1" applyFont="1" applyFill="1" applyBorder="1" applyAlignment="1" applyProtection="1">
      <alignment horizontal="center" vertical="center" wrapText="1"/>
      <protection locked="0"/>
    </xf>
    <xf numFmtId="3" fontId="40" fillId="13" borderId="672" xfId="12" applyNumberFormat="1" applyFont="1" applyFill="1" applyBorder="1" applyAlignment="1" applyProtection="1">
      <alignment horizontal="right" vertical="center"/>
      <protection locked="0"/>
    </xf>
    <xf numFmtId="3" fontId="40" fillId="13" borderId="673" xfId="12" applyNumberFormat="1" applyFont="1" applyFill="1" applyBorder="1" applyAlignment="1" applyProtection="1">
      <alignment horizontal="right" vertical="center"/>
      <protection locked="0"/>
    </xf>
    <xf numFmtId="4" fontId="40" fillId="13" borderId="703" xfId="12" applyNumberFormat="1" applyFont="1" applyFill="1" applyBorder="1" applyAlignment="1" applyProtection="1">
      <alignment horizontal="right" vertical="center"/>
      <protection locked="0"/>
    </xf>
    <xf numFmtId="10" fontId="40" fillId="13" borderId="703" xfId="12" applyNumberFormat="1" applyFont="1" applyFill="1" applyBorder="1" applyAlignment="1" applyProtection="1">
      <alignment horizontal="right" vertical="center"/>
      <protection locked="0"/>
    </xf>
    <xf numFmtId="49" fontId="61" fillId="18" borderId="703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704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69" xfId="12" applyNumberFormat="1" applyFont="1" applyFill="1" applyBorder="1" applyAlignment="1" applyProtection="1">
      <alignment horizontal="right" vertical="center"/>
      <protection locked="0"/>
    </xf>
    <xf numFmtId="3" fontId="61" fillId="6" borderId="705" xfId="12" applyNumberFormat="1" applyFont="1" applyFill="1" applyBorder="1" applyAlignment="1" applyProtection="1">
      <alignment horizontal="right" vertical="center"/>
      <protection locked="0"/>
    </xf>
    <xf numFmtId="4" fontId="61" fillId="6" borderId="706" xfId="12" applyNumberFormat="1" applyFont="1" applyFill="1" applyBorder="1" applyAlignment="1" applyProtection="1">
      <alignment horizontal="right" vertical="center"/>
      <protection locked="0"/>
    </xf>
    <xf numFmtId="3" fontId="40" fillId="0" borderId="708" xfId="12" applyNumberFormat="1" applyFont="1" applyFill="1" applyBorder="1" applyAlignment="1" applyProtection="1">
      <alignment horizontal="right" vertical="center"/>
      <protection locked="0"/>
    </xf>
    <xf numFmtId="3" fontId="40" fillId="0" borderId="702" xfId="12" applyNumberFormat="1" applyFont="1" applyFill="1" applyBorder="1" applyAlignment="1" applyProtection="1">
      <alignment horizontal="right" vertical="center"/>
      <protection locked="0"/>
    </xf>
    <xf numFmtId="3" fontId="43" fillId="0" borderId="628" xfId="12" applyNumberFormat="1" applyFont="1" applyFill="1" applyBorder="1" applyAlignment="1" applyProtection="1">
      <alignment horizontal="right" vertical="center"/>
      <protection locked="0"/>
    </xf>
    <xf numFmtId="49" fontId="43" fillId="16" borderId="71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16" xfId="12" applyNumberFormat="1" applyFont="1" applyFill="1" applyBorder="1" applyAlignment="1" applyProtection="1">
      <alignment horizontal="right" vertical="center"/>
      <protection locked="0"/>
    </xf>
    <xf numFmtId="49" fontId="43" fillId="16" borderId="687" xfId="12" applyNumberFormat="1" applyFont="1" applyFill="1" applyBorder="1" applyAlignment="1" applyProtection="1">
      <alignment horizontal="center" vertical="center" wrapText="1"/>
      <protection locked="0"/>
    </xf>
    <xf numFmtId="10" fontId="61" fillId="6" borderId="703" xfId="12" applyNumberFormat="1" applyFont="1" applyFill="1" applyBorder="1" applyAlignment="1" applyProtection="1">
      <alignment horizontal="right" vertical="center"/>
      <protection locked="0"/>
    </xf>
    <xf numFmtId="49" fontId="43" fillId="0" borderId="14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711" xfId="12" applyNumberFormat="1" applyFont="1" applyFill="1" applyBorder="1" applyAlignment="1" applyProtection="1">
      <alignment horizontal="right" vertical="center"/>
      <protection locked="0"/>
    </xf>
    <xf numFmtId="3" fontId="43" fillId="0" borderId="712" xfId="12" applyNumberFormat="1" applyFont="1" applyFill="1" applyBorder="1" applyAlignment="1" applyProtection="1">
      <alignment horizontal="right" vertical="center"/>
      <protection locked="0"/>
    </xf>
    <xf numFmtId="4" fontId="43" fillId="0" borderId="713" xfId="12" applyNumberFormat="1" applyFont="1" applyFill="1" applyBorder="1" applyAlignment="1" applyProtection="1">
      <alignment horizontal="right" vertical="center"/>
      <protection locked="0"/>
    </xf>
    <xf numFmtId="0" fontId="43" fillId="6" borderId="0" xfId="12" applyNumberFormat="1" applyFont="1" applyFill="1" applyBorder="1" applyAlignment="1" applyProtection="1">
      <alignment horizontal="left" vertical="center"/>
      <protection locked="0"/>
    </xf>
    <xf numFmtId="49" fontId="40" fillId="17" borderId="706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687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714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715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716" xfId="12" applyNumberFormat="1" applyFont="1" applyFill="1" applyBorder="1" applyAlignment="1" applyProtection="1">
      <alignment horizontal="right" vertical="center"/>
      <protection locked="0"/>
    </xf>
    <xf numFmtId="3" fontId="40" fillId="13" borderId="717" xfId="12" applyNumberFormat="1" applyFont="1" applyFill="1" applyBorder="1" applyAlignment="1" applyProtection="1">
      <alignment horizontal="right" vertical="center"/>
      <protection locked="0"/>
    </xf>
    <xf numFmtId="3" fontId="40" fillId="13" borderId="718" xfId="12" applyNumberFormat="1" applyFont="1" applyFill="1" applyBorder="1" applyAlignment="1" applyProtection="1">
      <alignment horizontal="right" vertical="center"/>
      <protection locked="0"/>
    </xf>
    <xf numFmtId="4" fontId="40" fillId="13" borderId="687" xfId="12" applyNumberFormat="1" applyFont="1" applyFill="1" applyBorder="1" applyAlignment="1" applyProtection="1">
      <alignment horizontal="right" vertical="center"/>
      <protection locked="0"/>
    </xf>
    <xf numFmtId="10" fontId="40" fillId="13" borderId="687" xfId="12" applyNumberFormat="1" applyFont="1" applyFill="1" applyBorder="1" applyAlignment="1" applyProtection="1">
      <alignment horizontal="right" vertical="center"/>
      <protection locked="0"/>
    </xf>
    <xf numFmtId="49" fontId="43" fillId="16" borderId="719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95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7" xfId="12" applyNumberFormat="1" applyFont="1" applyFill="1" applyBorder="1" applyAlignment="1" applyProtection="1">
      <alignment horizontal="right" vertical="center"/>
      <protection locked="0"/>
    </xf>
    <xf numFmtId="4" fontId="61" fillId="6" borderId="703" xfId="12" applyNumberFormat="1" applyFont="1" applyFill="1" applyBorder="1" applyAlignment="1" applyProtection="1">
      <alignment horizontal="right" vertical="center"/>
      <protection locked="0"/>
    </xf>
    <xf numFmtId="3" fontId="40" fillId="0" borderId="693" xfId="12" applyNumberFormat="1" applyFont="1" applyFill="1" applyBorder="1" applyAlignment="1" applyProtection="1">
      <alignment horizontal="right" vertical="center"/>
      <protection locked="0"/>
    </xf>
    <xf numFmtId="3" fontId="43" fillId="0" borderId="600" xfId="12" applyNumberFormat="1" applyFont="1" applyFill="1" applyBorder="1" applyAlignment="1" applyProtection="1">
      <alignment horizontal="right" vertical="center"/>
      <protection locked="0"/>
    </xf>
    <xf numFmtId="3" fontId="41" fillId="0" borderId="600" xfId="12" applyNumberFormat="1" applyFont="1" applyFill="1" applyBorder="1" applyAlignment="1" applyProtection="1">
      <alignment horizontal="right" vertical="center"/>
      <protection locked="0"/>
    </xf>
    <xf numFmtId="3" fontId="41" fillId="0" borderId="628" xfId="12" applyNumberFormat="1" applyFont="1" applyFill="1" applyBorder="1" applyAlignment="1" applyProtection="1">
      <alignment horizontal="right" vertical="center"/>
      <protection locked="0"/>
    </xf>
    <xf numFmtId="3" fontId="41" fillId="0" borderId="618" xfId="12" applyNumberFormat="1" applyFont="1" applyFill="1" applyBorder="1" applyAlignment="1" applyProtection="1">
      <alignment horizontal="right" vertical="center"/>
      <protection locked="0"/>
    </xf>
    <xf numFmtId="49" fontId="43" fillId="16" borderId="72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723" xfId="12" applyNumberFormat="1" applyFont="1" applyFill="1" applyBorder="1" applyAlignment="1" applyProtection="1">
      <alignment horizontal="right" vertical="center"/>
      <protection locked="0"/>
    </xf>
    <xf numFmtId="3" fontId="43" fillId="0" borderId="724" xfId="12" applyNumberFormat="1" applyFont="1" applyFill="1" applyBorder="1" applyAlignment="1" applyProtection="1">
      <alignment horizontal="right" vertical="center"/>
      <protection locked="0"/>
    </xf>
    <xf numFmtId="49" fontId="43" fillId="0" borderId="584" xfId="12" applyNumberFormat="1" applyFont="1" applyFill="1" applyBorder="1" applyAlignment="1" applyProtection="1">
      <alignment vertical="center" wrapText="1"/>
      <protection locked="0"/>
    </xf>
    <xf numFmtId="0" fontId="89" fillId="0" borderId="600" xfId="11" applyFont="1" applyBorder="1" applyAlignment="1">
      <alignment vertical="center" wrapText="1"/>
    </xf>
    <xf numFmtId="49" fontId="43" fillId="16" borderId="72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" xfId="12" applyNumberFormat="1" applyFont="1" applyFill="1" applyBorder="1" applyAlignment="1" applyProtection="1">
      <alignment horizontal="right" vertical="center"/>
      <protection locked="0"/>
    </xf>
    <xf numFmtId="3" fontId="43" fillId="0" borderId="728" xfId="12" applyNumberFormat="1" applyFont="1" applyFill="1" applyBorder="1" applyAlignment="1" applyProtection="1">
      <alignment horizontal="right" vertical="center"/>
      <protection locked="0"/>
    </xf>
    <xf numFmtId="49" fontId="40" fillId="17" borderId="729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718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687" xfId="12" applyNumberFormat="1" applyFont="1" applyFill="1" applyBorder="1" applyAlignment="1" applyProtection="1">
      <alignment horizontal="right" vertical="center"/>
      <protection locked="0"/>
    </xf>
    <xf numFmtId="3" fontId="40" fillId="13" borderId="719" xfId="12" applyNumberFormat="1" applyFont="1" applyFill="1" applyBorder="1" applyAlignment="1" applyProtection="1">
      <alignment horizontal="right" vertical="center"/>
      <protection locked="0"/>
    </xf>
    <xf numFmtId="3" fontId="61" fillId="6" borderId="703" xfId="12" applyNumberFormat="1" applyFont="1" applyFill="1" applyBorder="1" applyAlignment="1" applyProtection="1">
      <alignment horizontal="right" vertical="center"/>
      <protection locked="0"/>
    </xf>
    <xf numFmtId="3" fontId="40" fillId="4" borderId="14" xfId="12" applyNumberFormat="1" applyFont="1" applyFill="1" applyBorder="1" applyAlignment="1" applyProtection="1">
      <alignment horizontal="right" vertical="center"/>
      <protection locked="0"/>
    </xf>
    <xf numFmtId="3" fontId="43" fillId="4" borderId="671" xfId="12" applyNumberFormat="1" applyFont="1" applyFill="1" applyBorder="1" applyAlignment="1" applyProtection="1">
      <alignment horizontal="right" vertical="center"/>
      <protection locked="0"/>
    </xf>
    <xf numFmtId="3" fontId="43" fillId="4" borderId="696" xfId="12" applyNumberFormat="1" applyFont="1" applyFill="1" applyBorder="1" applyAlignment="1" applyProtection="1">
      <alignment horizontal="right" vertical="center"/>
      <protection locked="0"/>
    </xf>
    <xf numFmtId="4" fontId="43" fillId="4" borderId="671" xfId="12" applyNumberFormat="1" applyFont="1" applyFill="1" applyBorder="1" applyAlignment="1" applyProtection="1">
      <alignment horizontal="right" vertical="center"/>
      <protection locked="0"/>
    </xf>
    <xf numFmtId="49" fontId="40" fillId="19" borderId="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31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4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253" xfId="12" applyNumberFormat="1" applyFont="1" applyFill="1" applyBorder="1" applyAlignment="1" applyProtection="1">
      <alignment horizontal="right" vertical="center"/>
      <protection locked="0"/>
    </xf>
    <xf numFmtId="3" fontId="41" fillId="0" borderId="713" xfId="12" applyNumberFormat="1" applyFont="1" applyFill="1" applyBorder="1" applyAlignment="1" applyProtection="1">
      <alignment horizontal="right" vertical="center"/>
      <protection locked="0"/>
    </xf>
    <xf numFmtId="4" fontId="41" fillId="0" borderId="713" xfId="12" applyNumberFormat="1" applyFont="1" applyFill="1" applyBorder="1" applyAlignment="1" applyProtection="1">
      <alignment horizontal="right" vertical="center"/>
      <protection locked="0"/>
    </xf>
    <xf numFmtId="49" fontId="43" fillId="16" borderId="70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3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2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3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9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3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36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737" xfId="12" applyNumberFormat="1" applyFont="1" applyFill="1" applyBorder="1" applyAlignment="1" applyProtection="1">
      <alignment horizontal="right" vertical="center"/>
      <protection locked="0"/>
    </xf>
    <xf numFmtId="3" fontId="40" fillId="0" borderId="585" xfId="12" applyNumberFormat="1" applyFont="1" applyFill="1" applyBorder="1" applyAlignment="1" applyProtection="1">
      <alignment vertical="center"/>
      <protection locked="0"/>
    </xf>
    <xf numFmtId="3" fontId="43" fillId="0" borderId="671" xfId="12" applyNumberFormat="1" applyFont="1" applyFill="1" applyBorder="1" applyAlignment="1" applyProtection="1">
      <alignment vertical="center"/>
      <protection locked="0"/>
    </xf>
    <xf numFmtId="3" fontId="41" fillId="0" borderId="585" xfId="12" applyNumberFormat="1" applyFont="1" applyFill="1" applyBorder="1" applyAlignment="1" applyProtection="1">
      <alignment horizontal="right" vertical="center"/>
      <protection locked="0"/>
    </xf>
    <xf numFmtId="4" fontId="43" fillId="0" borderId="738" xfId="12" applyNumberFormat="1" applyFont="1" applyFill="1" applyBorder="1" applyAlignment="1" applyProtection="1">
      <alignment horizontal="right" vertical="center"/>
      <protection locked="0"/>
    </xf>
    <xf numFmtId="49" fontId="43" fillId="16" borderId="739" xfId="12" applyNumberFormat="1" applyFont="1" applyFill="1" applyBorder="1" applyAlignment="1" applyProtection="1">
      <alignment horizontal="center" vertical="center" wrapText="1"/>
      <protection locked="0"/>
    </xf>
    <xf numFmtId="49" fontId="61" fillId="20" borderId="703" xfId="12" applyNumberFormat="1" applyFont="1" applyFill="1" applyBorder="1" applyAlignment="1" applyProtection="1">
      <alignment horizontal="center" vertical="center" wrapText="1"/>
      <protection locked="0"/>
    </xf>
    <xf numFmtId="49" fontId="61" fillId="20" borderId="146" xfId="12" applyNumberFormat="1" applyFont="1" applyFill="1" applyBorder="1" applyAlignment="1" applyProtection="1">
      <alignment horizontal="center" vertical="center" wrapText="1"/>
      <protection locked="0"/>
    </xf>
    <xf numFmtId="49" fontId="61" fillId="20" borderId="147" xfId="12" applyNumberFormat="1" applyFont="1" applyFill="1" applyBorder="1" applyAlignment="1" applyProtection="1">
      <alignment horizontal="left" vertical="center" wrapText="1"/>
      <protection locked="0"/>
    </xf>
    <xf numFmtId="3" fontId="61" fillId="8" borderId="703" xfId="12" applyNumberFormat="1" applyFont="1" applyFill="1" applyBorder="1" applyAlignment="1" applyProtection="1">
      <alignment horizontal="right" vertical="center"/>
      <protection locked="0"/>
    </xf>
    <xf numFmtId="4" fontId="61" fillId="8" borderId="703" xfId="12" applyNumberFormat="1" applyFont="1" applyFill="1" applyBorder="1" applyAlignment="1" applyProtection="1">
      <alignment horizontal="right" vertical="center"/>
      <protection locked="0"/>
    </xf>
    <xf numFmtId="3" fontId="61" fillId="6" borderId="706" xfId="12" applyNumberFormat="1" applyFont="1" applyFill="1" applyBorder="1" applyAlignment="1" applyProtection="1">
      <alignment horizontal="right" vertical="center"/>
      <protection locked="0"/>
    </xf>
    <xf numFmtId="3" fontId="41" fillId="0" borderId="584" xfId="12" applyNumberFormat="1" applyFont="1" applyFill="1" applyBorder="1" applyAlignment="1" applyProtection="1">
      <alignment horizontal="right" vertical="center"/>
      <protection locked="0"/>
    </xf>
    <xf numFmtId="0" fontId="89" fillId="0" borderId="694" xfId="11" applyFont="1" applyBorder="1" applyAlignment="1">
      <alignment vertical="center"/>
    </xf>
    <xf numFmtId="3" fontId="43" fillId="0" borderId="694" xfId="12" applyNumberFormat="1" applyFont="1" applyFill="1" applyBorder="1" applyAlignment="1" applyProtection="1">
      <alignment horizontal="right" vertical="center"/>
      <protection locked="0"/>
    </xf>
    <xf numFmtId="49" fontId="43" fillId="16" borderId="74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" xfId="12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12" applyNumberFormat="1" applyFont="1" applyFill="1" applyBorder="1" applyAlignment="1" applyProtection="1">
      <alignment vertical="center"/>
      <protection locked="0"/>
    </xf>
    <xf numFmtId="0" fontId="43" fillId="0" borderId="9" xfId="12" applyNumberFormat="1" applyFont="1" applyFill="1" applyBorder="1" applyAlignment="1" applyProtection="1">
      <alignment vertical="center"/>
      <protection locked="0"/>
    </xf>
    <xf numFmtId="3" fontId="41" fillId="0" borderId="741" xfId="12" applyNumberFormat="1" applyFont="1" applyFill="1" applyBorder="1" applyAlignment="1" applyProtection="1">
      <alignment horizontal="right" vertical="center"/>
      <protection locked="0"/>
    </xf>
    <xf numFmtId="3" fontId="41" fillId="0" borderId="725" xfId="12" applyNumberFormat="1" applyFont="1" applyFill="1" applyBorder="1" applyAlignment="1" applyProtection="1">
      <alignment horizontal="right" vertical="center"/>
      <protection locked="0"/>
    </xf>
    <xf numFmtId="4" fontId="41" fillId="0" borderId="741" xfId="12" applyNumberFormat="1" applyFont="1" applyFill="1" applyBorder="1" applyAlignment="1" applyProtection="1">
      <alignment horizontal="right" vertical="center"/>
      <protection locked="0"/>
    </xf>
    <xf numFmtId="49" fontId="43" fillId="0" borderId="74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743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584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642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744" xfId="12" applyNumberFormat="1" applyFont="1" applyFill="1" applyBorder="1" applyAlignment="1" applyProtection="1">
      <alignment horizontal="right" vertical="center"/>
      <protection locked="0"/>
    </xf>
    <xf numFmtId="49" fontId="43" fillId="16" borderId="74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4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747" xfId="12" applyNumberFormat="1" applyFont="1" applyFill="1" applyBorder="1" applyAlignment="1" applyProtection="1">
      <alignment horizontal="right" vertical="center"/>
      <protection locked="0"/>
    </xf>
    <xf numFmtId="49" fontId="43" fillId="16" borderId="636" xfId="12" applyNumberFormat="1" applyFont="1" applyFill="1" applyBorder="1" applyAlignment="1" applyProtection="1">
      <alignment vertical="center" wrapText="1"/>
      <protection locked="0"/>
    </xf>
    <xf numFmtId="49" fontId="43" fillId="16" borderId="748" xfId="12" applyNumberFormat="1" applyFont="1" applyFill="1" applyBorder="1" applyAlignment="1" applyProtection="1">
      <alignment vertical="center" wrapText="1"/>
      <protection locked="0"/>
    </xf>
    <xf numFmtId="49" fontId="43" fillId="16" borderId="749" xfId="12" applyNumberFormat="1" applyFont="1" applyFill="1" applyBorder="1" applyAlignment="1" applyProtection="1">
      <alignment vertical="center" wrapText="1"/>
      <protection locked="0"/>
    </xf>
    <xf numFmtId="3" fontId="43" fillId="0" borderId="750" xfId="12" applyNumberFormat="1" applyFont="1" applyFill="1" applyBorder="1" applyAlignment="1" applyProtection="1">
      <alignment horizontal="right" vertical="center"/>
      <protection locked="0"/>
    </xf>
    <xf numFmtId="4" fontId="43" fillId="0" borderId="749" xfId="12" applyNumberFormat="1" applyFont="1" applyFill="1" applyBorder="1" applyAlignment="1" applyProtection="1">
      <alignment horizontal="right" vertical="center"/>
      <protection locked="0"/>
    </xf>
    <xf numFmtId="3" fontId="43" fillId="16" borderId="205" xfId="12" applyNumberFormat="1" applyFont="1" applyFill="1" applyBorder="1" applyAlignment="1" applyProtection="1">
      <alignment horizontal="right" vertical="center" wrapText="1"/>
      <protection locked="0"/>
    </xf>
    <xf numFmtId="49" fontId="43" fillId="16" borderId="75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52" xfId="12" applyNumberFormat="1" applyFont="1" applyFill="1" applyBorder="1" applyAlignment="1" applyProtection="1">
      <alignment horizontal="left" vertical="center" wrapText="1"/>
      <protection locked="0"/>
    </xf>
    <xf numFmtId="3" fontId="43" fillId="16" borderId="753" xfId="12" applyNumberFormat="1" applyFont="1" applyFill="1" applyBorder="1" applyAlignment="1" applyProtection="1">
      <alignment horizontal="right" vertical="center" wrapText="1"/>
      <protection locked="0"/>
    </xf>
    <xf numFmtId="4" fontId="43" fillId="0" borderId="754" xfId="12" applyNumberFormat="1" applyFont="1" applyFill="1" applyBorder="1" applyAlignment="1" applyProtection="1">
      <alignment horizontal="right" vertical="center"/>
      <protection locked="0"/>
    </xf>
    <xf numFmtId="49" fontId="43" fillId="16" borderId="75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5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5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5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59" xfId="12" applyNumberFormat="1" applyFont="1" applyFill="1" applyBorder="1" applyAlignment="1" applyProtection="1">
      <alignment horizontal="center" vertical="center" wrapText="1"/>
      <protection locked="0"/>
    </xf>
    <xf numFmtId="3" fontId="43" fillId="16" borderId="754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754" xfId="12" applyNumberFormat="1" applyFont="1" applyFill="1" applyBorder="1" applyAlignment="1" applyProtection="1">
      <alignment horizontal="right" vertical="center"/>
      <protection locked="0"/>
    </xf>
    <xf numFmtId="3" fontId="43" fillId="0" borderId="761" xfId="12" applyNumberFormat="1" applyFont="1" applyFill="1" applyBorder="1" applyAlignment="1" applyProtection="1">
      <alignment horizontal="right" vertical="center"/>
      <protection locked="0"/>
    </xf>
    <xf numFmtId="49" fontId="43" fillId="16" borderId="76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92" xfId="12" applyNumberFormat="1" applyFont="1" applyFill="1" applyBorder="1" applyAlignment="1" applyProtection="1">
      <alignment horizontal="left" vertical="center" wrapText="1"/>
      <protection locked="0"/>
    </xf>
    <xf numFmtId="10" fontId="40" fillId="6" borderId="703" xfId="12" applyNumberFormat="1" applyFont="1" applyFill="1" applyBorder="1" applyAlignment="1" applyProtection="1">
      <alignment horizontal="right" vertical="center"/>
      <protection locked="0"/>
    </xf>
    <xf numFmtId="3" fontId="43" fillId="0" borderId="749" xfId="12" applyNumberFormat="1" applyFont="1" applyFill="1" applyBorder="1" applyAlignment="1" applyProtection="1">
      <alignment horizontal="right" vertical="center"/>
      <protection locked="0"/>
    </xf>
    <xf numFmtId="3" fontId="43" fillId="0" borderId="764" xfId="12" applyNumberFormat="1" applyFont="1" applyFill="1" applyBorder="1" applyAlignment="1" applyProtection="1">
      <alignment horizontal="right" vertical="center"/>
      <protection locked="0"/>
    </xf>
    <xf numFmtId="3" fontId="41" fillId="0" borderId="754" xfId="12" applyNumberFormat="1" applyFont="1" applyFill="1" applyBorder="1" applyAlignment="1" applyProtection="1">
      <alignment horizontal="right" vertical="center"/>
      <protection locked="0"/>
    </xf>
    <xf numFmtId="3" fontId="41" fillId="0" borderId="761" xfId="12" applyNumberFormat="1" applyFont="1" applyFill="1" applyBorder="1" applyAlignment="1" applyProtection="1">
      <alignment horizontal="right" vertical="center"/>
      <protection locked="0"/>
    </xf>
    <xf numFmtId="4" fontId="41" fillId="0" borderId="754" xfId="12" applyNumberFormat="1" applyFont="1" applyFill="1" applyBorder="1" applyAlignment="1" applyProtection="1">
      <alignment horizontal="right" vertical="center"/>
      <protection locked="0"/>
    </xf>
    <xf numFmtId="0" fontId="43" fillId="0" borderId="759" xfId="12" applyNumberFormat="1" applyFont="1" applyFill="1" applyBorder="1" applyAlignment="1" applyProtection="1">
      <alignment horizontal="left" vertical="center"/>
      <protection locked="0"/>
    </xf>
    <xf numFmtId="10" fontId="43" fillId="0" borderId="765" xfId="12" applyNumberFormat="1" applyFont="1" applyFill="1" applyBorder="1" applyAlignment="1" applyProtection="1">
      <alignment horizontal="right" vertical="center"/>
      <protection locked="0"/>
    </xf>
    <xf numFmtId="49" fontId="43" fillId="16" borderId="76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6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769" xfId="12" applyNumberFormat="1" applyFont="1" applyFill="1" applyBorder="1" applyAlignment="1" applyProtection="1">
      <alignment vertical="center"/>
      <protection locked="0"/>
    </xf>
    <xf numFmtId="3" fontId="43" fillId="0" borderId="770" xfId="12" applyNumberFormat="1" applyFont="1" applyFill="1" applyBorder="1" applyAlignment="1" applyProtection="1">
      <alignment horizontal="right" vertical="center"/>
      <protection locked="0"/>
    </xf>
    <xf numFmtId="4" fontId="43" fillId="0" borderId="769" xfId="12" applyNumberFormat="1" applyFont="1" applyFill="1" applyBorder="1" applyAlignment="1" applyProtection="1">
      <alignment horizontal="right" vertical="center"/>
      <protection locked="0"/>
    </xf>
    <xf numFmtId="49" fontId="43" fillId="0" borderId="771" xfId="12" applyNumberFormat="1" applyFont="1" applyFill="1" applyBorder="1" applyAlignment="1" applyProtection="1">
      <alignment horizontal="center" vertical="center" wrapText="1"/>
      <protection locked="0"/>
    </xf>
    <xf numFmtId="0" fontId="43" fillId="16" borderId="75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77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76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7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7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775" xfId="12" applyNumberFormat="1" applyFont="1" applyFill="1" applyBorder="1" applyAlignment="1" applyProtection="1">
      <alignment horizontal="right" vertical="center"/>
      <protection locked="0"/>
    </xf>
    <xf numFmtId="4" fontId="43" fillId="0" borderId="775" xfId="12" applyNumberFormat="1" applyFont="1" applyFill="1" applyBorder="1" applyAlignment="1" applyProtection="1">
      <alignment horizontal="right" vertical="center"/>
      <protection locked="0"/>
    </xf>
    <xf numFmtId="49" fontId="43" fillId="16" borderId="77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7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752" xfId="12" applyNumberFormat="1" applyFont="1" applyFill="1" applyBorder="1" applyAlignment="1" applyProtection="1">
      <alignment horizontal="right" vertical="center"/>
      <protection locked="0"/>
    </xf>
    <xf numFmtId="10" fontId="43" fillId="0" borderId="778" xfId="12" applyNumberFormat="1" applyFont="1" applyFill="1" applyBorder="1" applyAlignment="1" applyProtection="1">
      <alignment horizontal="right" vertical="center"/>
      <protection locked="0"/>
    </xf>
    <xf numFmtId="49" fontId="43" fillId="16" borderId="77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8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8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8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8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8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785" xfId="12" applyNumberFormat="1" applyFont="1" applyFill="1" applyBorder="1" applyAlignment="1" applyProtection="1">
      <alignment horizontal="right" vertical="center"/>
      <protection locked="0"/>
    </xf>
    <xf numFmtId="4" fontId="43" fillId="0" borderId="785" xfId="12" applyNumberFormat="1" applyFont="1" applyFill="1" applyBorder="1" applyAlignment="1" applyProtection="1">
      <alignment horizontal="right" vertical="center"/>
      <protection locked="0"/>
    </xf>
    <xf numFmtId="49" fontId="43" fillId="16" borderId="78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8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8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8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9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9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92" xfId="12" applyNumberFormat="1" applyFont="1" applyFill="1" applyBorder="1" applyAlignment="1" applyProtection="1">
      <alignment vertical="center" wrapText="1"/>
      <protection locked="0"/>
    </xf>
    <xf numFmtId="49" fontId="43" fillId="16" borderId="205" xfId="12" applyNumberFormat="1" applyFont="1" applyFill="1" applyBorder="1" applyAlignment="1" applyProtection="1">
      <alignment vertical="center" wrapText="1"/>
      <protection locked="0"/>
    </xf>
    <xf numFmtId="3" fontId="40" fillId="0" borderId="793" xfId="12" applyNumberFormat="1" applyFont="1" applyFill="1" applyBorder="1" applyAlignment="1" applyProtection="1">
      <alignment horizontal="right" vertical="center"/>
      <protection locked="0"/>
    </xf>
    <xf numFmtId="3" fontId="40" fillId="0" borderId="794" xfId="12" applyNumberFormat="1" applyFont="1" applyFill="1" applyBorder="1" applyAlignment="1" applyProtection="1">
      <alignment horizontal="right" vertical="center"/>
      <protection locked="0"/>
    </xf>
    <xf numFmtId="4" fontId="40" fillId="0" borderId="793" xfId="12" applyNumberFormat="1" applyFont="1" applyFill="1" applyBorder="1" applyAlignment="1" applyProtection="1">
      <alignment horizontal="right" vertical="center"/>
      <protection locked="0"/>
    </xf>
    <xf numFmtId="49" fontId="43" fillId="16" borderId="79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9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97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798" xfId="12" applyNumberFormat="1" applyFont="1" applyFill="1" applyBorder="1" applyAlignment="1" applyProtection="1">
      <alignment horizontal="right" vertical="center"/>
      <protection locked="0"/>
    </xf>
    <xf numFmtId="3" fontId="41" fillId="0" borderId="785" xfId="12" applyNumberFormat="1" applyFont="1" applyFill="1" applyBorder="1" applyAlignment="1" applyProtection="1">
      <alignment horizontal="right" vertical="center"/>
      <protection locked="0"/>
    </xf>
    <xf numFmtId="3" fontId="43" fillId="0" borderId="799" xfId="12" applyNumberFormat="1" applyFont="1" applyFill="1" applyBorder="1" applyAlignment="1" applyProtection="1">
      <alignment horizontal="right" vertical="center"/>
      <protection locked="0"/>
    </xf>
    <xf numFmtId="4" fontId="41" fillId="0" borderId="785" xfId="12" applyNumberFormat="1" applyFont="1" applyFill="1" applyBorder="1" applyAlignment="1" applyProtection="1">
      <alignment horizontal="right" vertical="center"/>
      <protection locked="0"/>
    </xf>
    <xf numFmtId="49" fontId="43" fillId="16" borderId="80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0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92" xfId="12" applyNumberFormat="1" applyFont="1" applyFill="1" applyBorder="1" applyAlignment="1" applyProtection="1">
      <alignment vertical="center" wrapText="1"/>
      <protection locked="0"/>
    </xf>
    <xf numFmtId="49" fontId="43" fillId="16" borderId="793" xfId="12" applyNumberFormat="1" applyFont="1" applyFill="1" applyBorder="1" applyAlignment="1" applyProtection="1">
      <alignment vertical="center" wrapText="1"/>
      <protection locked="0"/>
    </xf>
    <xf numFmtId="3" fontId="41" fillId="0" borderId="793" xfId="12" applyNumberFormat="1" applyFont="1" applyFill="1" applyBorder="1" applyAlignment="1" applyProtection="1">
      <alignment horizontal="right" vertical="center"/>
      <protection locked="0"/>
    </xf>
    <xf numFmtId="3" fontId="41" fillId="0" borderId="794" xfId="12" applyNumberFormat="1" applyFont="1" applyFill="1" applyBorder="1" applyAlignment="1" applyProtection="1">
      <alignment horizontal="right" vertical="center"/>
      <protection locked="0"/>
    </xf>
    <xf numFmtId="4" fontId="41" fillId="0" borderId="793" xfId="12" applyNumberFormat="1" applyFont="1" applyFill="1" applyBorder="1" applyAlignment="1" applyProtection="1">
      <alignment horizontal="right" vertical="center"/>
      <protection locked="0"/>
    </xf>
    <xf numFmtId="49" fontId="43" fillId="16" borderId="80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03" xfId="12" applyNumberFormat="1" applyFont="1" applyFill="1" applyBorder="1" applyAlignment="1" applyProtection="1">
      <alignment horizontal="left" vertical="center" wrapText="1"/>
      <protection locked="0"/>
    </xf>
    <xf numFmtId="4" fontId="43" fillId="0" borderId="804" xfId="12" applyNumberFormat="1" applyFont="1" applyFill="1" applyBorder="1" applyAlignment="1" applyProtection="1">
      <alignment horizontal="right" vertical="center"/>
      <protection locked="0"/>
    </xf>
    <xf numFmtId="49" fontId="43" fillId="16" borderId="75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05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807" xfId="12" applyNumberFormat="1" applyFont="1" applyFill="1" applyBorder="1" applyAlignment="1" applyProtection="1">
      <alignment horizontal="right" vertical="center"/>
      <protection locked="0"/>
    </xf>
    <xf numFmtId="3" fontId="43" fillId="0" borderId="808" xfId="12" applyNumberFormat="1" applyFont="1" applyFill="1" applyBorder="1" applyAlignment="1" applyProtection="1">
      <alignment horizontal="right" vertical="center"/>
      <protection locked="0"/>
    </xf>
    <xf numFmtId="4" fontId="43" fillId="0" borderId="807" xfId="12" applyNumberFormat="1" applyFont="1" applyFill="1" applyBorder="1" applyAlignment="1" applyProtection="1">
      <alignment horizontal="right" vertical="center"/>
      <protection locked="0"/>
    </xf>
    <xf numFmtId="49" fontId="43" fillId="16" borderId="80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1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10" xfId="12" applyNumberFormat="1" applyFont="1" applyFill="1" applyBorder="1" applyAlignment="1" applyProtection="1">
      <alignment horizontal="right" vertical="center"/>
      <protection locked="0"/>
    </xf>
    <xf numFmtId="49" fontId="43" fillId="16" borderId="96" xfId="12" applyNumberFormat="1" applyFont="1" applyFill="1" applyBorder="1" applyAlignment="1" applyProtection="1">
      <alignment vertical="center" wrapText="1"/>
      <protection locked="0"/>
    </xf>
    <xf numFmtId="49" fontId="43" fillId="16" borderId="97" xfId="12" applyNumberFormat="1" applyFont="1" applyFill="1" applyBorder="1" applyAlignment="1" applyProtection="1">
      <alignment vertical="center" wrapText="1"/>
      <protection locked="0"/>
    </xf>
    <xf numFmtId="3" fontId="43" fillId="16" borderId="793" xfId="12" applyNumberFormat="1" applyFont="1" applyFill="1" applyBorder="1" applyAlignment="1" applyProtection="1">
      <alignment horizontal="right" vertical="center" wrapText="1"/>
      <protection locked="0"/>
    </xf>
    <xf numFmtId="3" fontId="43" fillId="19" borderId="793" xfId="12" applyNumberFormat="1" applyFont="1" applyFill="1" applyBorder="1" applyAlignment="1" applyProtection="1">
      <alignment horizontal="right" vertical="center" wrapText="1"/>
      <protection locked="0"/>
    </xf>
    <xf numFmtId="3" fontId="43" fillId="16" borderId="811" xfId="12" applyNumberFormat="1" applyFont="1" applyFill="1" applyBorder="1" applyAlignment="1" applyProtection="1">
      <alignment horizontal="right" vertical="center" wrapText="1"/>
      <protection locked="0"/>
    </xf>
    <xf numFmtId="49" fontId="43" fillId="16" borderId="81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13" xfId="12" applyNumberFormat="1" applyFont="1" applyFill="1" applyBorder="1" applyAlignment="1" applyProtection="1">
      <alignment horizontal="left" vertical="center" wrapText="1"/>
      <protection locked="0"/>
    </xf>
    <xf numFmtId="3" fontId="43" fillId="16" borderId="814" xfId="12" applyNumberFormat="1" applyFont="1" applyFill="1" applyBorder="1" applyAlignment="1" applyProtection="1">
      <alignment horizontal="right" vertical="center" wrapText="1"/>
      <protection locked="0"/>
    </xf>
    <xf numFmtId="4" fontId="43" fillId="0" borderId="815" xfId="12" applyNumberFormat="1" applyFont="1" applyFill="1" applyBorder="1" applyAlignment="1" applyProtection="1">
      <alignment horizontal="right" vertical="center"/>
      <protection locked="0"/>
    </xf>
    <xf numFmtId="3" fontId="40" fillId="0" borderId="817" xfId="12" applyNumberFormat="1" applyFont="1" applyFill="1" applyBorder="1" applyAlignment="1" applyProtection="1">
      <alignment horizontal="right" vertical="center"/>
      <protection locked="0"/>
    </xf>
    <xf numFmtId="49" fontId="43" fillId="16" borderId="81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1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2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2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15" xfId="12" applyNumberFormat="1" applyFont="1" applyFill="1" applyBorder="1" applyAlignment="1" applyProtection="1">
      <alignment horizontal="right" vertical="center"/>
      <protection locked="0"/>
    </xf>
    <xf numFmtId="49" fontId="43" fillId="16" borderId="82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23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824" xfId="12" applyNumberFormat="1" applyFont="1" applyFill="1" applyBorder="1" applyAlignment="1" applyProtection="1">
      <alignment horizontal="right" vertical="center"/>
      <protection locked="0"/>
    </xf>
    <xf numFmtId="4" fontId="43" fillId="0" borderId="824" xfId="12" applyNumberFormat="1" applyFont="1" applyFill="1" applyBorder="1" applyAlignment="1" applyProtection="1">
      <alignment horizontal="right" vertical="center"/>
      <protection locked="0"/>
    </xf>
    <xf numFmtId="3" fontId="43" fillId="0" borderId="824" xfId="12" applyNumberFormat="1" applyFont="1" applyFill="1" applyBorder="1" applyAlignment="1" applyProtection="1">
      <alignment horizontal="right" vertical="center"/>
      <protection locked="0"/>
    </xf>
    <xf numFmtId="49" fontId="43" fillId="16" borderId="82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2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2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2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2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30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817" xfId="12" applyNumberFormat="1" applyFont="1" applyFill="1" applyBorder="1" applyAlignment="1" applyProtection="1">
      <alignment horizontal="right" vertical="center"/>
      <protection locked="0"/>
    </xf>
    <xf numFmtId="4" fontId="41" fillId="0" borderId="817" xfId="12" applyNumberFormat="1" applyFont="1" applyFill="1" applyBorder="1" applyAlignment="1" applyProtection="1">
      <alignment horizontal="right" vertical="center"/>
      <protection locked="0"/>
    </xf>
    <xf numFmtId="3" fontId="41" fillId="0" borderId="799" xfId="12" applyNumberFormat="1" applyFont="1" applyFill="1" applyBorder="1" applyAlignment="1" applyProtection="1">
      <alignment horizontal="right" vertical="center"/>
      <protection locked="0"/>
    </xf>
    <xf numFmtId="3" fontId="41" fillId="0" borderId="831" xfId="12" applyNumberFormat="1" applyFont="1" applyFill="1" applyBorder="1" applyAlignment="1" applyProtection="1">
      <alignment horizontal="right" vertical="center"/>
      <protection locked="0"/>
    </xf>
    <xf numFmtId="3" fontId="41" fillId="0" borderId="694" xfId="12" applyNumberFormat="1" applyFont="1" applyFill="1" applyBorder="1" applyAlignment="1" applyProtection="1">
      <alignment horizontal="right" vertical="center"/>
      <protection locked="0"/>
    </xf>
    <xf numFmtId="4" fontId="41" fillId="0" borderId="831" xfId="12" applyNumberFormat="1" applyFont="1" applyFill="1" applyBorder="1" applyAlignment="1" applyProtection="1">
      <alignment horizontal="right" vertical="center"/>
      <protection locked="0"/>
    </xf>
    <xf numFmtId="49" fontId="43" fillId="16" borderId="83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3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34" xfId="12" applyNumberFormat="1" applyFont="1" applyFill="1" applyBorder="1" applyAlignment="1" applyProtection="1">
      <alignment horizontal="right" vertical="center"/>
      <protection locked="0"/>
    </xf>
    <xf numFmtId="4" fontId="43" fillId="0" borderId="834" xfId="12" applyNumberFormat="1" applyFont="1" applyFill="1" applyBorder="1" applyAlignment="1" applyProtection="1">
      <alignment horizontal="right" vertical="center"/>
      <protection locked="0"/>
    </xf>
    <xf numFmtId="3" fontId="43" fillId="0" borderId="836" xfId="12" applyNumberFormat="1" applyFont="1" applyFill="1" applyBorder="1" applyAlignment="1" applyProtection="1">
      <alignment horizontal="right" vertical="center"/>
      <protection locked="0"/>
    </xf>
    <xf numFmtId="49" fontId="43" fillId="16" borderId="83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5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38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74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20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839" xfId="12" applyNumberFormat="1" applyFont="1" applyFill="1" applyBorder="1" applyAlignment="1" applyProtection="1">
      <alignment horizontal="right" vertical="center"/>
      <protection locked="0"/>
    </xf>
    <xf numFmtId="49" fontId="43" fillId="16" borderId="84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6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36" xfId="12" applyNumberFormat="1" applyFont="1" applyFill="1" applyBorder="1" applyAlignment="1" applyProtection="1">
      <alignment vertical="center" wrapText="1"/>
      <protection locked="0"/>
    </xf>
    <xf numFmtId="49" fontId="43" fillId="16" borderId="834" xfId="12" applyNumberFormat="1" applyFont="1" applyFill="1" applyBorder="1" applyAlignment="1" applyProtection="1">
      <alignment vertical="center" wrapText="1"/>
      <protection locked="0"/>
    </xf>
    <xf numFmtId="49" fontId="43" fillId="16" borderId="84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4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48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834" xfId="12" applyNumberFormat="1" applyFont="1" applyFill="1" applyBorder="1" applyAlignment="1" applyProtection="1">
      <alignment horizontal="right" vertical="center"/>
      <protection locked="0"/>
    </xf>
    <xf numFmtId="3" fontId="40" fillId="0" borderId="836" xfId="12" applyNumberFormat="1" applyFont="1" applyFill="1" applyBorder="1" applyAlignment="1" applyProtection="1">
      <alignment horizontal="right" vertical="center"/>
      <protection locked="0"/>
    </xf>
    <xf numFmtId="4" fontId="40" fillId="0" borderId="834" xfId="12" applyNumberFormat="1" applyFont="1" applyFill="1" applyBorder="1" applyAlignment="1" applyProtection="1">
      <alignment horizontal="right" vertical="center"/>
      <protection locked="0"/>
    </xf>
    <xf numFmtId="49" fontId="43" fillId="16" borderId="84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" xfId="12" applyNumberFormat="1" applyFont="1" applyFill="1" applyBorder="1" applyAlignment="1" applyProtection="1">
      <alignment horizontal="left" vertical="center" wrapText="1"/>
      <protection locked="0"/>
    </xf>
    <xf numFmtId="2" fontId="43" fillId="0" borderId="692" xfId="12" applyNumberFormat="1" applyFont="1" applyFill="1" applyBorder="1" applyAlignment="1" applyProtection="1">
      <alignment horizontal="left" vertical="center" wrapText="1"/>
      <protection locked="0"/>
    </xf>
    <xf numFmtId="4" fontId="43" fillId="0" borderId="831" xfId="12" applyNumberFormat="1" applyFont="1" applyFill="1" applyBorder="1" applyAlignment="1" applyProtection="1">
      <alignment horizontal="right" vertical="center"/>
      <protection locked="0"/>
    </xf>
    <xf numFmtId="49" fontId="43" fillId="16" borderId="84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46" xfId="12" applyNumberFormat="1" applyFont="1" applyFill="1" applyBorder="1" applyAlignment="1" applyProtection="1">
      <alignment horizontal="right" vertical="center"/>
      <protection locked="0"/>
    </xf>
    <xf numFmtId="2" fontId="43" fillId="0" borderId="843" xfId="12" applyNumberFormat="1" applyFont="1" applyFill="1" applyBorder="1" applyAlignment="1" applyProtection="1">
      <alignment horizontal="left" vertical="center" wrapText="1"/>
      <protection locked="0"/>
    </xf>
    <xf numFmtId="49" fontId="40" fillId="17" borderId="703" xfId="12" applyNumberFormat="1" applyFont="1" applyFill="1" applyBorder="1" applyAlignment="1" applyProtection="1">
      <alignment horizontal="center" vertical="center" wrapText="1"/>
      <protection locked="0"/>
    </xf>
    <xf numFmtId="3" fontId="40" fillId="13" borderId="703" xfId="12" applyNumberFormat="1" applyFont="1" applyFill="1" applyBorder="1" applyAlignment="1" applyProtection="1">
      <alignment horizontal="right" vertical="center"/>
      <protection locked="0"/>
    </xf>
    <xf numFmtId="3" fontId="41" fillId="0" borderId="834" xfId="12" applyNumberFormat="1" applyFont="1" applyFill="1" applyBorder="1" applyAlignment="1" applyProtection="1">
      <alignment horizontal="right" vertical="center"/>
      <protection locked="0"/>
    </xf>
    <xf numFmtId="49" fontId="43" fillId="16" borderId="84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43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4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4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4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5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51" xfId="12" applyNumberFormat="1" applyFont="1" applyFill="1" applyBorder="1" applyAlignment="1" applyProtection="1">
      <alignment horizontal="right" vertical="center"/>
      <protection locked="0"/>
    </xf>
    <xf numFmtId="3" fontId="43" fillId="0" borderId="852" xfId="12" applyNumberFormat="1" applyFont="1" applyFill="1" applyBorder="1" applyAlignment="1" applyProtection="1">
      <alignment horizontal="right" vertical="center"/>
      <protection locked="0"/>
    </xf>
    <xf numFmtId="49" fontId="43" fillId="0" borderId="855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85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0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839" xfId="12" applyNumberFormat="1" applyFont="1" applyFill="1" applyBorder="1" applyAlignment="1" applyProtection="1">
      <alignment horizontal="right" vertical="center"/>
      <protection locked="0"/>
    </xf>
    <xf numFmtId="49" fontId="43" fillId="0" borderId="833" xfId="11" applyNumberFormat="1" applyFont="1" applyBorder="1" applyAlignment="1">
      <alignment vertical="center" wrapText="1"/>
    </xf>
    <xf numFmtId="49" fontId="43" fillId="0" borderId="857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2" applyNumberFormat="1" applyFont="1" applyFill="1" applyBorder="1" applyAlignment="1" applyProtection="1">
      <alignment horizontal="left" vertical="center" wrapText="1"/>
      <protection locked="0"/>
    </xf>
    <xf numFmtId="49" fontId="40" fillId="17" borderId="858" xfId="12" applyNumberFormat="1" applyFont="1" applyFill="1" applyBorder="1" applyAlignment="1" applyProtection="1">
      <alignment horizontal="left" vertical="center" wrapText="1"/>
      <protection locked="0"/>
    </xf>
    <xf numFmtId="49" fontId="61" fillId="0" borderId="9" xfId="12" applyNumberFormat="1" applyFont="1" applyFill="1" applyBorder="1" applyAlignment="1" applyProtection="1">
      <alignment vertical="center" wrapText="1"/>
      <protection locked="0"/>
    </xf>
    <xf numFmtId="49" fontId="43" fillId="16" borderId="21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62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863" xfId="12" applyNumberFormat="1" applyFont="1" applyFill="1" applyBorder="1" applyAlignment="1" applyProtection="1">
      <alignment horizontal="right" vertical="center"/>
      <protection locked="0"/>
    </xf>
    <xf numFmtId="49" fontId="43" fillId="0" borderId="864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86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66" xfId="12" applyNumberFormat="1" applyFont="1" applyFill="1" applyBorder="1" applyAlignment="1" applyProtection="1">
      <alignment horizontal="right" vertical="center"/>
      <protection locked="0"/>
    </xf>
    <xf numFmtId="49" fontId="61" fillId="0" borderId="23" xfId="12" applyNumberFormat="1" applyFont="1" applyFill="1" applyBorder="1" applyAlignment="1" applyProtection="1">
      <alignment horizontal="center" vertical="center" wrapText="1"/>
      <protection locked="0"/>
    </xf>
    <xf numFmtId="49" fontId="61" fillId="0" borderId="166" xfId="12" applyNumberFormat="1" applyFont="1" applyFill="1" applyBorder="1" applyAlignment="1" applyProtection="1">
      <alignment horizontal="center" vertical="center" wrapText="1"/>
      <protection locked="0"/>
    </xf>
    <xf numFmtId="49" fontId="61" fillId="0" borderId="15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785" xfId="12" applyNumberFormat="1" applyFont="1" applyFill="1" applyBorder="1" applyAlignment="1" applyProtection="1">
      <alignment horizontal="right" vertical="center"/>
      <protection locked="0"/>
    </xf>
    <xf numFmtId="3" fontId="40" fillId="0" borderId="799" xfId="12" applyNumberFormat="1" applyFont="1" applyFill="1" applyBorder="1" applyAlignment="1" applyProtection="1">
      <alignment horizontal="right" vertical="center"/>
      <protection locked="0"/>
    </xf>
    <xf numFmtId="4" fontId="40" fillId="0" borderId="785" xfId="12" applyNumberFormat="1" applyFont="1" applyFill="1" applyBorder="1" applyAlignment="1" applyProtection="1">
      <alignment horizontal="right" vertical="center"/>
      <protection locked="0"/>
    </xf>
    <xf numFmtId="49" fontId="61" fillId="0" borderId="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6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69" xfId="12" applyNumberFormat="1" applyFont="1" applyFill="1" applyBorder="1" applyAlignment="1" applyProtection="1">
      <alignment horizontal="left" vertical="center" wrapText="1"/>
      <protection locked="0"/>
    </xf>
    <xf numFmtId="49" fontId="61" fillId="0" borderId="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9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7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9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6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52" xfId="12" applyNumberFormat="1" applyFont="1" applyFill="1" applyBorder="1" applyAlignment="1" applyProtection="1">
      <alignment horizontal="left" vertical="center" wrapText="1"/>
      <protection locked="0"/>
    </xf>
    <xf numFmtId="49" fontId="40" fillId="6" borderId="703" xfId="12" applyNumberFormat="1" applyFont="1" applyFill="1" applyBorder="1" applyAlignment="1" applyProtection="1">
      <alignment horizontal="center" vertical="center" wrapText="1"/>
      <protection locked="0"/>
    </xf>
    <xf numFmtId="49" fontId="40" fillId="18" borderId="5" xfId="12" applyNumberFormat="1" applyFont="1" applyFill="1" applyBorder="1" applyAlignment="1" applyProtection="1">
      <alignment horizontal="center" vertical="center" wrapText="1"/>
      <protection locked="0"/>
    </xf>
    <xf numFmtId="49" fontId="40" fillId="18" borderId="871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872" xfId="12" applyNumberFormat="1" applyFont="1" applyFill="1" applyBorder="1" applyAlignment="1" applyProtection="1">
      <alignment horizontal="right" vertical="center"/>
      <protection locked="0"/>
    </xf>
    <xf numFmtId="3" fontId="61" fillId="6" borderId="873" xfId="12" applyNumberFormat="1" applyFont="1" applyFill="1" applyBorder="1" applyAlignment="1" applyProtection="1">
      <alignment horizontal="right" vertical="center"/>
      <protection locked="0"/>
    </xf>
    <xf numFmtId="4" fontId="61" fillId="6" borderId="872" xfId="12" applyNumberFormat="1" applyFont="1" applyFill="1" applyBorder="1" applyAlignment="1" applyProtection="1">
      <alignment horizontal="right" vertical="center"/>
      <protection locked="0"/>
    </xf>
    <xf numFmtId="10" fontId="61" fillId="0" borderId="15" xfId="12" applyNumberFormat="1" applyFont="1" applyFill="1" applyBorder="1" applyAlignment="1" applyProtection="1">
      <alignment horizontal="right" vertical="center"/>
      <protection locked="0"/>
    </xf>
    <xf numFmtId="49" fontId="43" fillId="16" borderId="87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8" xfId="12" applyNumberFormat="1" applyFont="1" applyFill="1" applyBorder="1" applyAlignment="1" applyProtection="1">
      <alignment horizontal="left" vertical="center" wrapText="1"/>
      <protection locked="0"/>
    </xf>
    <xf numFmtId="3" fontId="43" fillId="4" borderId="785" xfId="12" applyNumberFormat="1" applyFont="1" applyFill="1" applyBorder="1" applyAlignment="1" applyProtection="1">
      <alignment horizontal="right" vertical="center"/>
      <protection locked="0"/>
    </xf>
    <xf numFmtId="3" fontId="43" fillId="4" borderId="799" xfId="12" applyNumberFormat="1" applyFont="1" applyFill="1" applyBorder="1" applyAlignment="1" applyProtection="1">
      <alignment horizontal="right" vertical="center"/>
      <protection locked="0"/>
    </xf>
    <xf numFmtId="4" fontId="43" fillId="4" borderId="785" xfId="12" applyNumberFormat="1" applyFont="1" applyFill="1" applyBorder="1" applyAlignment="1" applyProtection="1">
      <alignment horizontal="right" vertical="center"/>
      <protection locked="0"/>
    </xf>
    <xf numFmtId="10" fontId="61" fillId="0" borderId="785" xfId="12" applyNumberFormat="1" applyFont="1" applyFill="1" applyBorder="1" applyAlignment="1" applyProtection="1">
      <alignment horizontal="right" vertical="center"/>
      <protection locked="0"/>
    </xf>
    <xf numFmtId="49" fontId="43" fillId="19" borderId="876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87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77" xfId="12" applyNumberFormat="1" applyFont="1" applyFill="1" applyBorder="1" applyAlignment="1" applyProtection="1">
      <alignment horizontal="right" vertical="center"/>
      <protection locked="0"/>
    </xf>
    <xf numFmtId="49" fontId="40" fillId="19" borderId="23" xfId="12" applyNumberFormat="1" applyFont="1" applyFill="1" applyBorder="1" applyAlignment="1" applyProtection="1">
      <alignment vertical="center" wrapText="1"/>
      <protection locked="0"/>
    </xf>
    <xf numFmtId="10" fontId="40" fillId="0" borderId="879" xfId="12" applyNumberFormat="1" applyFont="1" applyFill="1" applyBorder="1" applyAlignment="1" applyProtection="1">
      <alignment horizontal="right" vertical="center"/>
      <protection locked="0"/>
    </xf>
    <xf numFmtId="49" fontId="61" fillId="6" borderId="703" xfId="12" applyNumberFormat="1" applyFont="1" applyFill="1" applyBorder="1" applyAlignment="1" applyProtection="1">
      <alignment horizontal="center" vertical="center" wrapText="1"/>
      <protection locked="0"/>
    </xf>
    <xf numFmtId="3" fontId="61" fillId="0" borderId="204" xfId="12" applyNumberFormat="1" applyFont="1" applyFill="1" applyBorder="1" applyAlignment="1" applyProtection="1">
      <alignment horizontal="right" vertical="center"/>
      <protection locked="0"/>
    </xf>
    <xf numFmtId="3" fontId="61" fillId="0" borderId="33" xfId="12" applyNumberFormat="1" applyFont="1" applyFill="1" applyBorder="1" applyAlignment="1" applyProtection="1">
      <alignment horizontal="right" vertical="center"/>
      <protection locked="0"/>
    </xf>
    <xf numFmtId="4" fontId="61" fillId="0" borderId="33" xfId="12" applyNumberFormat="1" applyFont="1" applyFill="1" applyBorder="1" applyAlignment="1" applyProtection="1">
      <alignment horizontal="right" vertical="center"/>
      <protection locked="0"/>
    </xf>
    <xf numFmtId="10" fontId="61" fillId="0" borderId="881" xfId="12" applyNumberFormat="1" applyFont="1" applyFill="1" applyBorder="1" applyAlignment="1" applyProtection="1">
      <alignment horizontal="right" vertical="center"/>
      <protection locked="0"/>
    </xf>
    <xf numFmtId="3" fontId="61" fillId="0" borderId="877" xfId="12" applyNumberFormat="1" applyFont="1" applyFill="1" applyBorder="1" applyAlignment="1" applyProtection="1">
      <alignment horizontal="right" vertical="center"/>
      <protection locked="0"/>
    </xf>
    <xf numFmtId="3" fontId="61" fillId="0" borderId="785" xfId="12" applyNumberFormat="1" applyFont="1" applyFill="1" applyBorder="1" applyAlignment="1" applyProtection="1">
      <alignment horizontal="right" vertical="center"/>
      <protection locked="0"/>
    </xf>
    <xf numFmtId="4" fontId="61" fillId="0" borderId="785" xfId="12" applyNumberFormat="1" applyFont="1" applyFill="1" applyBorder="1" applyAlignment="1" applyProtection="1">
      <alignment horizontal="right" vertical="center"/>
      <protection locked="0"/>
    </xf>
    <xf numFmtId="49" fontId="43" fillId="0" borderId="79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88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78" xfId="12" applyNumberFormat="1" applyFont="1" applyFill="1" applyBorder="1" applyAlignment="1" applyProtection="1">
      <alignment horizontal="right" vertical="center"/>
      <protection locked="0"/>
    </xf>
    <xf numFmtId="3" fontId="61" fillId="0" borderId="878" xfId="12" applyNumberFormat="1" applyFont="1" applyFill="1" applyBorder="1" applyAlignment="1" applyProtection="1">
      <alignment horizontal="right" vertical="center"/>
      <protection locked="0"/>
    </xf>
    <xf numFmtId="10" fontId="61" fillId="0" borderId="879" xfId="12" applyNumberFormat="1" applyFont="1" applyFill="1" applyBorder="1" applyAlignment="1" applyProtection="1">
      <alignment horizontal="right" vertical="center"/>
      <protection locked="0"/>
    </xf>
    <xf numFmtId="49" fontId="43" fillId="16" borderId="88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8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87" xfId="12" applyNumberFormat="1" applyFont="1" applyFill="1" applyBorder="1" applyAlignment="1" applyProtection="1">
      <alignment horizontal="right" vertical="center"/>
      <protection locked="0"/>
    </xf>
    <xf numFmtId="49" fontId="61" fillId="18" borderId="888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889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890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888" xfId="12" applyNumberFormat="1" applyFont="1" applyFill="1" applyBorder="1" applyAlignment="1" applyProtection="1">
      <alignment horizontal="right" vertical="center"/>
      <protection locked="0"/>
    </xf>
    <xf numFmtId="3" fontId="61" fillId="6" borderId="891" xfId="12" applyNumberFormat="1" applyFont="1" applyFill="1" applyBorder="1" applyAlignment="1" applyProtection="1">
      <alignment horizontal="right" vertical="center"/>
      <protection locked="0"/>
    </xf>
    <xf numFmtId="4" fontId="61" fillId="6" borderId="888" xfId="12" applyNumberFormat="1" applyFont="1" applyFill="1" applyBorder="1" applyAlignment="1" applyProtection="1">
      <alignment horizontal="right" vertical="center"/>
      <protection locked="0"/>
    </xf>
    <xf numFmtId="10" fontId="61" fillId="6" borderId="888" xfId="12" applyNumberFormat="1" applyFont="1" applyFill="1" applyBorder="1" applyAlignment="1" applyProtection="1">
      <alignment horizontal="right" vertical="center"/>
      <protection locked="0"/>
    </xf>
    <xf numFmtId="49" fontId="43" fillId="19" borderId="892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88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93" xfId="12" applyNumberFormat="1" applyFont="1" applyFill="1" applyBorder="1" applyAlignment="1" applyProtection="1">
      <alignment horizontal="right" vertical="center"/>
      <protection locked="0"/>
    </xf>
    <xf numFmtId="3" fontId="43" fillId="0" borderId="894" xfId="12" applyNumberFormat="1" applyFont="1" applyFill="1" applyBorder="1" applyAlignment="1" applyProtection="1">
      <alignment horizontal="right" vertical="center"/>
      <protection locked="0"/>
    </xf>
    <xf numFmtId="3" fontId="43" fillId="0" borderId="895" xfId="12" applyNumberFormat="1" applyFont="1" applyFill="1" applyBorder="1" applyAlignment="1" applyProtection="1">
      <alignment horizontal="right" vertical="center"/>
      <protection locked="0"/>
    </xf>
    <xf numFmtId="4" fontId="43" fillId="0" borderId="894" xfId="12" applyNumberFormat="1" applyFont="1" applyFill="1" applyBorder="1" applyAlignment="1" applyProtection="1">
      <alignment horizontal="right" vertical="center"/>
      <protection locked="0"/>
    </xf>
    <xf numFmtId="49" fontId="43" fillId="16" borderId="89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9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9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9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99" xfId="12" applyNumberFormat="1" applyFont="1" applyFill="1" applyBorder="1" applyAlignment="1" applyProtection="1">
      <alignment horizontal="right" vertical="center"/>
      <protection locked="0"/>
    </xf>
    <xf numFmtId="4" fontId="43" fillId="0" borderId="899" xfId="12" applyNumberFormat="1" applyFont="1" applyFill="1" applyBorder="1" applyAlignment="1" applyProtection="1">
      <alignment horizontal="right" vertical="center"/>
      <protection locked="0"/>
    </xf>
    <xf numFmtId="3" fontId="43" fillId="0" borderId="900" xfId="12" applyNumberFormat="1" applyFont="1" applyFill="1" applyBorder="1" applyAlignment="1" applyProtection="1">
      <alignment horizontal="right" vertical="center"/>
      <protection locked="0"/>
    </xf>
    <xf numFmtId="49" fontId="43" fillId="16" borderId="90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0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0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0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0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07" xfId="12" applyNumberFormat="1" applyFont="1" applyFill="1" applyBorder="1" applyAlignment="1" applyProtection="1">
      <alignment horizontal="right" vertical="center"/>
      <protection locked="0"/>
    </xf>
    <xf numFmtId="3" fontId="43" fillId="0" borderId="906" xfId="12" applyNumberFormat="1" applyFont="1" applyFill="1" applyBorder="1" applyAlignment="1" applyProtection="1">
      <alignment horizontal="right" vertical="center"/>
      <protection locked="0"/>
    </xf>
    <xf numFmtId="4" fontId="43" fillId="0" borderId="907" xfId="12" applyNumberFormat="1" applyFont="1" applyFill="1" applyBorder="1" applyAlignment="1" applyProtection="1">
      <alignment horizontal="right" vertical="center"/>
      <protection locked="0"/>
    </xf>
    <xf numFmtId="49" fontId="43" fillId="16" borderId="86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67" xfId="12" applyNumberFormat="1" applyFont="1" applyFill="1" applyBorder="1" applyAlignment="1" applyProtection="1">
      <alignment horizontal="right" vertical="center"/>
      <protection locked="0"/>
    </xf>
    <xf numFmtId="3" fontId="40" fillId="0" borderId="831" xfId="12" applyNumberFormat="1" applyFont="1" applyFill="1" applyBorder="1" applyAlignment="1" applyProtection="1">
      <alignment horizontal="right" vertical="center"/>
      <protection locked="0"/>
    </xf>
    <xf numFmtId="4" fontId="40" fillId="0" borderId="831" xfId="12" applyNumberFormat="1" applyFont="1" applyFill="1" applyBorder="1" applyAlignment="1" applyProtection="1">
      <alignment horizontal="right" vertical="center"/>
      <protection locked="0"/>
    </xf>
    <xf numFmtId="49" fontId="43" fillId="16" borderId="910" xfId="12" applyNumberFormat="1" applyFont="1" applyFill="1" applyBorder="1" applyAlignment="1" applyProtection="1">
      <alignment horizontal="center" vertical="center" wrapText="1"/>
      <protection locked="0"/>
    </xf>
    <xf numFmtId="49" fontId="67" fillId="16" borderId="9" xfId="12" applyNumberFormat="1" applyFont="1" applyFill="1" applyBorder="1" applyAlignment="1" applyProtection="1">
      <alignment horizontal="center" vertical="center" wrapText="1"/>
      <protection locked="0"/>
    </xf>
    <xf numFmtId="49" fontId="68" fillId="18" borderId="888" xfId="12" applyNumberFormat="1" applyFont="1" applyFill="1" applyBorder="1" applyAlignment="1" applyProtection="1">
      <alignment horizontal="center" vertical="center" wrapText="1"/>
      <protection locked="0"/>
    </xf>
    <xf numFmtId="49" fontId="68" fillId="18" borderId="889" xfId="12" applyNumberFormat="1" applyFont="1" applyFill="1" applyBorder="1" applyAlignment="1" applyProtection="1">
      <alignment horizontal="center" vertical="center" wrapText="1"/>
      <protection locked="0"/>
    </xf>
    <xf numFmtId="49" fontId="68" fillId="18" borderId="890" xfId="12" applyNumberFormat="1" applyFont="1" applyFill="1" applyBorder="1" applyAlignment="1" applyProtection="1">
      <alignment horizontal="left" vertical="center" wrapText="1"/>
      <protection locked="0"/>
    </xf>
    <xf numFmtId="3" fontId="68" fillId="6" borderId="888" xfId="12" applyNumberFormat="1" applyFont="1" applyFill="1" applyBorder="1" applyAlignment="1" applyProtection="1">
      <alignment horizontal="right" vertical="center"/>
      <protection locked="0"/>
    </xf>
    <xf numFmtId="3" fontId="68" fillId="6" borderId="891" xfId="12" applyNumberFormat="1" applyFont="1" applyFill="1" applyBorder="1" applyAlignment="1" applyProtection="1">
      <alignment horizontal="right" vertical="center"/>
      <protection locked="0"/>
    </xf>
    <xf numFmtId="4" fontId="68" fillId="6" borderId="888" xfId="12" applyNumberFormat="1" applyFont="1" applyFill="1" applyBorder="1" applyAlignment="1" applyProtection="1">
      <alignment horizontal="right" vertical="center"/>
      <protection locked="0"/>
    </xf>
    <xf numFmtId="10" fontId="68" fillId="6" borderId="888" xfId="12" applyNumberFormat="1" applyFont="1" applyFill="1" applyBorder="1" applyAlignment="1" applyProtection="1">
      <alignment horizontal="right" vertical="center"/>
      <protection locked="0"/>
    </xf>
    <xf numFmtId="0" fontId="67" fillId="0" borderId="0" xfId="12" applyNumberFormat="1" applyFont="1" applyFill="1" applyBorder="1" applyAlignment="1" applyProtection="1">
      <alignment horizontal="left" vertical="center"/>
      <protection locked="0"/>
    </xf>
    <xf numFmtId="49" fontId="67" fillId="16" borderId="14" xfId="12" applyNumberFormat="1" applyFont="1" applyFill="1" applyBorder="1" applyAlignment="1" applyProtection="1">
      <alignment horizontal="center" vertical="center" wrapText="1"/>
      <protection locked="0"/>
    </xf>
    <xf numFmtId="3" fontId="81" fillId="0" borderId="15" xfId="12" applyNumberFormat="1" applyFont="1" applyFill="1" applyBorder="1" applyAlignment="1" applyProtection="1">
      <alignment horizontal="right" vertical="center"/>
      <protection locked="0"/>
    </xf>
    <xf numFmtId="3" fontId="81" fillId="0" borderId="911" xfId="12" applyNumberFormat="1" applyFont="1" applyFill="1" applyBorder="1" applyAlignment="1" applyProtection="1">
      <alignment horizontal="right" vertical="center"/>
      <protection locked="0"/>
    </xf>
    <xf numFmtId="4" fontId="81" fillId="0" borderId="911" xfId="12" applyNumberFormat="1" applyFont="1" applyFill="1" applyBorder="1" applyAlignment="1" applyProtection="1">
      <alignment horizontal="right" vertical="center"/>
      <protection locked="0"/>
    </xf>
    <xf numFmtId="10" fontId="81" fillId="0" borderId="911" xfId="12" applyNumberFormat="1" applyFont="1" applyFill="1" applyBorder="1" applyAlignment="1" applyProtection="1">
      <alignment horizontal="right" vertical="center"/>
      <protection locked="0"/>
    </xf>
    <xf numFmtId="3" fontId="67" fillId="0" borderId="785" xfId="12" applyNumberFormat="1" applyFont="1" applyFill="1" applyBorder="1" applyAlignment="1" applyProtection="1">
      <alignment horizontal="right" vertical="center"/>
      <protection locked="0"/>
    </xf>
    <xf numFmtId="4" fontId="67" fillId="0" borderId="785" xfId="12" applyNumberFormat="1" applyFont="1" applyFill="1" applyBorder="1" applyAlignment="1" applyProtection="1">
      <alignment horizontal="right" vertical="center"/>
      <protection locked="0"/>
    </xf>
    <xf numFmtId="10" fontId="67" fillId="0" borderId="15" xfId="12" applyNumberFormat="1" applyFont="1" applyFill="1" applyBorder="1" applyAlignment="1" applyProtection="1">
      <alignment horizontal="right" vertical="center"/>
      <protection locked="0"/>
    </xf>
    <xf numFmtId="49" fontId="67" fillId="0" borderId="912" xfId="12" applyNumberFormat="1" applyFont="1" applyFill="1" applyBorder="1" applyAlignment="1" applyProtection="1">
      <alignment horizontal="center" vertical="center" wrapText="1"/>
      <protection locked="0"/>
    </xf>
    <xf numFmtId="49" fontId="67" fillId="0" borderId="913" xfId="12" applyNumberFormat="1" applyFont="1" applyFill="1" applyBorder="1" applyAlignment="1" applyProtection="1">
      <alignment horizontal="left" vertical="center" wrapText="1"/>
      <protection locked="0"/>
    </xf>
    <xf numFmtId="3" fontId="67" fillId="0" borderId="914" xfId="12" applyNumberFormat="1" applyFont="1" applyFill="1" applyBorder="1" applyAlignment="1" applyProtection="1">
      <alignment horizontal="right" vertical="center"/>
      <protection locked="0"/>
    </xf>
    <xf numFmtId="4" fontId="67" fillId="0" borderId="914" xfId="12" applyNumberFormat="1" applyFont="1" applyFill="1" applyBorder="1" applyAlignment="1" applyProtection="1">
      <alignment horizontal="right" vertical="center"/>
      <protection locked="0"/>
    </xf>
    <xf numFmtId="10" fontId="67" fillId="0" borderId="914" xfId="12" applyNumberFormat="1" applyFont="1" applyFill="1" applyBorder="1" applyAlignment="1" applyProtection="1">
      <alignment horizontal="right" vertical="center"/>
      <protection locked="0"/>
    </xf>
    <xf numFmtId="3" fontId="67" fillId="0" borderId="26" xfId="12" applyNumberFormat="1" applyFont="1" applyFill="1" applyBorder="1" applyAlignment="1" applyProtection="1">
      <alignment horizontal="right" vertical="center"/>
      <protection locked="0"/>
    </xf>
    <xf numFmtId="4" fontId="67" fillId="0" borderId="26" xfId="12" applyNumberFormat="1" applyFont="1" applyFill="1" applyBorder="1" applyAlignment="1" applyProtection="1">
      <alignment horizontal="right" vertical="center"/>
      <protection locked="0"/>
    </xf>
    <xf numFmtId="10" fontId="67" fillId="0" borderId="13" xfId="12" applyNumberFormat="1" applyFont="1" applyFill="1" applyBorder="1" applyAlignment="1" applyProtection="1">
      <alignment horizontal="right" vertical="center"/>
      <protection locked="0"/>
    </xf>
    <xf numFmtId="3" fontId="43" fillId="0" borderId="914" xfId="12" applyNumberFormat="1" applyFont="1" applyFill="1" applyBorder="1" applyAlignment="1" applyProtection="1">
      <alignment horizontal="right" vertical="center"/>
      <protection locked="0"/>
    </xf>
    <xf numFmtId="3" fontId="43" fillId="0" borderId="915" xfId="12" applyNumberFormat="1" applyFont="1" applyFill="1" applyBorder="1" applyAlignment="1" applyProtection="1">
      <alignment horizontal="right" vertical="center"/>
      <protection locked="0"/>
    </xf>
    <xf numFmtId="4" fontId="43" fillId="0" borderId="914" xfId="12" applyNumberFormat="1" applyFont="1" applyFill="1" applyBorder="1" applyAlignment="1" applyProtection="1">
      <alignment horizontal="right" vertical="center"/>
      <protection locked="0"/>
    </xf>
    <xf numFmtId="3" fontId="43" fillId="0" borderId="917" xfId="12" applyNumberFormat="1" applyFont="1" applyFill="1" applyBorder="1" applyAlignment="1" applyProtection="1">
      <alignment horizontal="right" vertical="center"/>
      <protection locked="0"/>
    </xf>
    <xf numFmtId="3" fontId="43" fillId="0" borderId="918" xfId="12" applyNumberFormat="1" applyFont="1" applyFill="1" applyBorder="1" applyAlignment="1" applyProtection="1">
      <alignment horizontal="right" vertical="center"/>
      <protection locked="0"/>
    </xf>
    <xf numFmtId="4" fontId="43" fillId="0" borderId="917" xfId="12" applyNumberFormat="1" applyFont="1" applyFill="1" applyBorder="1" applyAlignment="1" applyProtection="1">
      <alignment horizontal="right" vertical="center"/>
      <protection locked="0"/>
    </xf>
    <xf numFmtId="49" fontId="43" fillId="16" borderId="91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2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21" xfId="12" applyNumberFormat="1" applyFont="1" applyFill="1" applyBorder="1" applyAlignment="1" applyProtection="1">
      <alignment horizontal="right" vertical="center"/>
      <protection locked="0"/>
    </xf>
    <xf numFmtId="49" fontId="43" fillId="16" borderId="92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23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924" xfId="12" applyNumberFormat="1" applyFont="1" applyFill="1" applyBorder="1" applyAlignment="1" applyProtection="1">
      <alignment horizontal="right" vertical="center"/>
      <protection locked="0"/>
    </xf>
    <xf numFmtId="49" fontId="43" fillId="16" borderId="91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2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26" xfId="12" applyNumberFormat="1" applyFont="1" applyFill="1" applyBorder="1" applyAlignment="1" applyProtection="1">
      <alignment horizontal="right" vertical="center"/>
      <protection locked="0"/>
    </xf>
    <xf numFmtId="49" fontId="43" fillId="16" borderId="92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2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2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29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917" xfId="12" applyNumberFormat="1" applyFont="1" applyFill="1" applyBorder="1" applyAlignment="1" applyProtection="1">
      <alignment horizontal="right" vertical="center"/>
      <protection locked="0"/>
    </xf>
    <xf numFmtId="3" fontId="40" fillId="0" borderId="893" xfId="12" applyNumberFormat="1" applyFont="1" applyFill="1" applyBorder="1" applyAlignment="1" applyProtection="1">
      <alignment horizontal="right" vertical="center"/>
      <protection locked="0"/>
    </xf>
    <xf numFmtId="3" fontId="40" fillId="0" borderId="917" xfId="12" applyNumberFormat="1" applyFont="1" applyFill="1" applyBorder="1" applyAlignment="1" applyProtection="1">
      <alignment horizontal="right" vertical="center"/>
      <protection locked="0"/>
    </xf>
    <xf numFmtId="4" fontId="40" fillId="0" borderId="917" xfId="12" applyNumberFormat="1" applyFont="1" applyFill="1" applyBorder="1" applyAlignment="1" applyProtection="1">
      <alignment horizontal="right" vertical="center"/>
      <protection locked="0"/>
    </xf>
    <xf numFmtId="10" fontId="40" fillId="0" borderId="917" xfId="12" applyNumberFormat="1" applyFont="1" applyFill="1" applyBorder="1" applyAlignment="1" applyProtection="1">
      <alignment horizontal="right" vertical="center"/>
      <protection locked="0"/>
    </xf>
    <xf numFmtId="49" fontId="43" fillId="16" borderId="1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30" xfId="12" applyNumberFormat="1" applyFont="1" applyFill="1" applyBorder="1" applyAlignment="1" applyProtection="1">
      <alignment vertical="center" wrapText="1"/>
      <protection locked="0"/>
    </xf>
    <xf numFmtId="49" fontId="43" fillId="16" borderId="931" xfId="12" applyNumberFormat="1" applyFont="1" applyFill="1" applyBorder="1" applyAlignment="1" applyProtection="1">
      <alignment vertical="center" wrapText="1"/>
      <protection locked="0"/>
    </xf>
    <xf numFmtId="49" fontId="43" fillId="16" borderId="91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1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" xfId="12" applyNumberFormat="1" applyFont="1" applyFill="1" applyBorder="1" applyAlignment="1" applyProtection="1">
      <alignment horizontal="left" vertical="center" wrapText="1"/>
      <protection locked="0"/>
    </xf>
    <xf numFmtId="49" fontId="40" fillId="17" borderId="891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932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933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934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932" xfId="12" applyNumberFormat="1" applyFont="1" applyFill="1" applyBorder="1" applyAlignment="1" applyProtection="1">
      <alignment horizontal="right" vertical="center"/>
      <protection locked="0"/>
    </xf>
    <xf numFmtId="3" fontId="40" fillId="13" borderId="935" xfId="12" applyNumberFormat="1" applyFont="1" applyFill="1" applyBorder="1" applyAlignment="1" applyProtection="1">
      <alignment horizontal="right" vertical="center"/>
      <protection locked="0"/>
    </xf>
    <xf numFmtId="4" fontId="40" fillId="13" borderId="932" xfId="12" applyNumberFormat="1" applyFont="1" applyFill="1" applyBorder="1" applyAlignment="1" applyProtection="1">
      <alignment horizontal="right" vertical="center"/>
      <protection locked="0"/>
    </xf>
    <xf numFmtId="10" fontId="40" fillId="13" borderId="888" xfId="12" applyNumberFormat="1" applyFont="1" applyFill="1" applyBorder="1" applyAlignment="1" applyProtection="1">
      <alignment horizontal="right" vertical="center"/>
      <protection locked="0"/>
    </xf>
    <xf numFmtId="49" fontId="61" fillId="6" borderId="888" xfId="12" applyNumberFormat="1" applyFont="1" applyFill="1" applyBorder="1" applyAlignment="1" applyProtection="1">
      <alignment horizontal="center" vertical="center" wrapText="1"/>
      <protection locked="0"/>
    </xf>
    <xf numFmtId="49" fontId="61" fillId="6" borderId="889" xfId="12" applyNumberFormat="1" applyFont="1" applyFill="1" applyBorder="1" applyAlignment="1" applyProtection="1">
      <alignment horizontal="center" vertical="center" wrapText="1"/>
      <protection locked="0"/>
    </xf>
    <xf numFmtId="49" fontId="61" fillId="6" borderId="890" xfId="12" applyNumberFormat="1" applyFont="1" applyFill="1" applyBorder="1" applyAlignment="1" applyProtection="1">
      <alignment horizontal="left" vertical="center" wrapText="1"/>
      <protection locked="0"/>
    </xf>
    <xf numFmtId="3" fontId="40" fillId="6" borderId="888" xfId="12" applyNumberFormat="1" applyFont="1" applyFill="1" applyBorder="1" applyAlignment="1" applyProtection="1">
      <alignment horizontal="right" vertical="center"/>
      <protection locked="0"/>
    </xf>
    <xf numFmtId="4" fontId="40" fillId="6" borderId="888" xfId="12" applyNumberFormat="1" applyFont="1" applyFill="1" applyBorder="1" applyAlignment="1" applyProtection="1">
      <alignment horizontal="right" vertical="center"/>
      <protection locked="0"/>
    </xf>
    <xf numFmtId="3" fontId="43" fillId="0" borderId="937" xfId="12" applyNumberFormat="1" applyFont="1" applyFill="1" applyBorder="1" applyAlignment="1" applyProtection="1">
      <alignment horizontal="right" vertical="center"/>
      <protection locked="0"/>
    </xf>
    <xf numFmtId="4" fontId="43" fillId="0" borderId="937" xfId="12" applyNumberFormat="1" applyFont="1" applyFill="1" applyBorder="1" applyAlignment="1" applyProtection="1">
      <alignment horizontal="right" vertical="center"/>
      <protection locked="0"/>
    </xf>
    <xf numFmtId="49" fontId="43" fillId="0" borderId="93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93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40" xfId="12" applyNumberFormat="1" applyFont="1" applyFill="1" applyBorder="1" applyAlignment="1" applyProtection="1">
      <alignment horizontal="right" vertical="center"/>
      <protection locked="0"/>
    </xf>
    <xf numFmtId="49" fontId="43" fillId="16" borderId="94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4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4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4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2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24" xfId="12" applyNumberFormat="1" applyFont="1" applyFill="1" applyBorder="1" applyAlignment="1" applyProtection="1">
      <alignment horizontal="right" vertical="center"/>
      <protection locked="0"/>
    </xf>
    <xf numFmtId="3" fontId="41" fillId="0" borderId="917" xfId="12" applyNumberFormat="1" applyFont="1" applyFill="1" applyBorder="1" applyAlignment="1" applyProtection="1">
      <alignment horizontal="right" vertical="center"/>
      <protection locked="0"/>
    </xf>
    <xf numFmtId="3" fontId="41" fillId="0" borderId="918" xfId="12" applyNumberFormat="1" applyFont="1" applyFill="1" applyBorder="1" applyAlignment="1" applyProtection="1">
      <alignment horizontal="right" vertical="center"/>
      <protection locked="0"/>
    </xf>
    <xf numFmtId="4" fontId="41" fillId="0" borderId="917" xfId="12" applyNumberFormat="1" applyFont="1" applyFill="1" applyBorder="1" applyAlignment="1" applyProtection="1">
      <alignment horizontal="right" vertical="center"/>
      <protection locked="0"/>
    </xf>
    <xf numFmtId="49" fontId="43" fillId="16" borderId="94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4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5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5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31" xfId="12" applyNumberFormat="1" applyFont="1" applyFill="1" applyBorder="1" applyAlignment="1" applyProtection="1">
      <alignment horizontal="right" vertical="center"/>
      <protection locked="0"/>
    </xf>
    <xf numFmtId="49" fontId="43" fillId="16" borderId="95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5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54" xfId="12" applyNumberFormat="1" applyFont="1" applyFill="1" applyBorder="1" applyAlignment="1" applyProtection="1">
      <alignment horizontal="right" vertical="center"/>
      <protection locked="0"/>
    </xf>
    <xf numFmtId="10" fontId="43" fillId="0" borderId="955" xfId="12" applyNumberFormat="1" applyFont="1" applyFill="1" applyBorder="1" applyAlignment="1" applyProtection="1">
      <alignment horizontal="right" vertical="center"/>
      <protection locked="0"/>
    </xf>
    <xf numFmtId="49" fontId="43" fillId="16" borderId="95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5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58" xfId="12" applyNumberFormat="1" applyFont="1" applyFill="1" applyBorder="1" applyAlignment="1" applyProtection="1">
      <alignment horizontal="right" vertical="center"/>
      <protection locked="0"/>
    </xf>
    <xf numFmtId="4" fontId="43" fillId="0" borderId="958" xfId="12" applyNumberFormat="1" applyFont="1" applyFill="1" applyBorder="1" applyAlignment="1" applyProtection="1">
      <alignment horizontal="right" vertical="center"/>
      <protection locked="0"/>
    </xf>
    <xf numFmtId="3" fontId="43" fillId="0" borderId="960" xfId="12" applyNumberFormat="1" applyFont="1" applyFill="1" applyBorder="1" applyAlignment="1" applyProtection="1">
      <alignment horizontal="right" vertical="center"/>
      <protection locked="0"/>
    </xf>
    <xf numFmtId="3" fontId="43" fillId="0" borderId="961" xfId="12" applyNumberFormat="1" applyFont="1" applyFill="1" applyBorder="1" applyAlignment="1" applyProtection="1">
      <alignment horizontal="right" vertical="center"/>
      <protection locked="0"/>
    </xf>
    <xf numFmtId="4" fontId="43" fillId="0" borderId="960" xfId="12" applyNumberFormat="1" applyFont="1" applyFill="1" applyBorder="1" applyAlignment="1" applyProtection="1">
      <alignment horizontal="right" vertical="center"/>
      <protection locked="0"/>
    </xf>
    <xf numFmtId="3" fontId="43" fillId="0" borderId="962" xfId="12" applyNumberFormat="1" applyFont="1" applyFill="1" applyBorder="1" applyAlignment="1" applyProtection="1">
      <alignment horizontal="right" vertical="center"/>
      <protection locked="0"/>
    </xf>
    <xf numFmtId="49" fontId="61" fillId="18" borderId="943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944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937" xfId="12" applyNumberFormat="1" applyFont="1" applyFill="1" applyBorder="1" applyAlignment="1" applyProtection="1">
      <alignment horizontal="right" vertical="center"/>
      <protection locked="0"/>
    </xf>
    <xf numFmtId="3" fontId="40" fillId="0" borderId="937" xfId="12" applyNumberFormat="1" applyFont="1" applyFill="1" applyBorder="1" applyAlignment="1" applyProtection="1">
      <alignment horizontal="right" vertical="center"/>
      <protection locked="0"/>
    </xf>
    <xf numFmtId="3" fontId="40" fillId="0" borderId="963" xfId="12" applyNumberFormat="1" applyFont="1" applyFill="1" applyBorder="1" applyAlignment="1" applyProtection="1">
      <alignment horizontal="right" vertical="center"/>
      <protection locked="0"/>
    </xf>
    <xf numFmtId="4" fontId="40" fillId="0" borderId="937" xfId="12" applyNumberFormat="1" applyFont="1" applyFill="1" applyBorder="1" applyAlignment="1" applyProtection="1">
      <alignment horizontal="right" vertical="center"/>
      <protection locked="0"/>
    </xf>
    <xf numFmtId="3" fontId="43" fillId="0" borderId="963" xfId="12" applyNumberFormat="1" applyFont="1" applyFill="1" applyBorder="1" applyAlignment="1" applyProtection="1">
      <alignment horizontal="right" vertical="center"/>
      <protection locked="0"/>
    </xf>
    <xf numFmtId="49" fontId="43" fillId="16" borderId="96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5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6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66" xfId="12" applyNumberFormat="1" applyFont="1" applyFill="1" applyBorder="1" applyAlignment="1" applyProtection="1">
      <alignment horizontal="left" vertical="center" wrapText="1"/>
      <protection locked="0"/>
    </xf>
    <xf numFmtId="10" fontId="43" fillId="6" borderId="967" xfId="12" applyNumberFormat="1" applyFont="1" applyFill="1" applyBorder="1" applyAlignment="1" applyProtection="1">
      <alignment horizontal="right" vertical="center"/>
      <protection locked="0"/>
    </xf>
    <xf numFmtId="3" fontId="40" fillId="0" borderId="911" xfId="12" applyNumberFormat="1" applyFont="1" applyFill="1" applyBorder="1" applyAlignment="1" applyProtection="1">
      <alignment horizontal="right" vertical="center"/>
      <protection locked="0"/>
    </xf>
    <xf numFmtId="49" fontId="43" fillId="0" borderId="93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68" xfId="12" applyNumberFormat="1" applyFont="1" applyFill="1" applyBorder="1" applyAlignment="1" applyProtection="1">
      <alignment horizontal="right" vertical="center"/>
      <protection locked="0"/>
    </xf>
    <xf numFmtId="49" fontId="43" fillId="16" borderId="969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92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7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7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2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72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166" xfId="12" applyNumberFormat="1" applyFont="1" applyFill="1" applyBorder="1" applyAlignment="1" applyProtection="1">
      <alignment vertical="center" wrapText="1"/>
      <protection locked="0"/>
    </xf>
    <xf numFmtId="2" fontId="43" fillId="0" borderId="15" xfId="12" applyNumberFormat="1" applyFont="1" applyFill="1" applyBorder="1" applyAlignment="1" applyProtection="1">
      <alignment vertical="center" wrapText="1"/>
      <protection locked="0"/>
    </xf>
    <xf numFmtId="3" fontId="43" fillId="0" borderId="973" xfId="12" applyNumberFormat="1" applyFont="1" applyFill="1" applyBorder="1" applyAlignment="1" applyProtection="1">
      <alignment horizontal="right" vertical="center"/>
      <protection locked="0"/>
    </xf>
    <xf numFmtId="3" fontId="43" fillId="0" borderId="974" xfId="12" applyNumberFormat="1" applyFont="1" applyFill="1" applyBorder="1" applyAlignment="1" applyProtection="1">
      <alignment horizontal="right" vertical="center"/>
      <protection locked="0"/>
    </xf>
    <xf numFmtId="49" fontId="43" fillId="16" borderId="97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7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77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978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979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980" xfId="12" applyNumberFormat="1" applyFont="1" applyFill="1" applyBorder="1" applyAlignment="1" applyProtection="1">
      <alignment horizontal="right" vertical="center"/>
      <protection locked="0"/>
    </xf>
    <xf numFmtId="2" fontId="43" fillId="0" borderId="981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924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98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983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97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8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8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8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87" xfId="12" applyNumberFormat="1" applyFont="1" applyFill="1" applyBorder="1" applyAlignment="1" applyProtection="1">
      <alignment horizontal="right" vertical="center"/>
      <protection locked="0"/>
    </xf>
    <xf numFmtId="49" fontId="43" fillId="16" borderId="98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8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90" xfId="12" applyNumberFormat="1" applyFont="1" applyFill="1" applyBorder="1" applyAlignment="1" applyProtection="1">
      <alignment horizontal="right" vertical="center"/>
      <protection locked="0"/>
    </xf>
    <xf numFmtId="4" fontId="43" fillId="0" borderId="990" xfId="12" applyNumberFormat="1" applyFont="1" applyFill="1" applyBorder="1" applyAlignment="1" applyProtection="1">
      <alignment horizontal="right" vertical="center"/>
      <protection locked="0"/>
    </xf>
    <xf numFmtId="49" fontId="43" fillId="16" borderId="935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932" xfId="12" applyNumberFormat="1" applyFont="1" applyFill="1" applyBorder="1" applyAlignment="1" applyProtection="1">
      <alignment vertical="center" wrapText="1"/>
      <protection locked="0"/>
    </xf>
    <xf numFmtId="49" fontId="43" fillId="16" borderId="99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9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93" xfId="12" applyNumberFormat="1" applyFont="1" applyFill="1" applyBorder="1" applyAlignment="1" applyProtection="1">
      <alignment horizontal="right" vertical="center"/>
      <protection locked="0"/>
    </xf>
    <xf numFmtId="49" fontId="43" fillId="16" borderId="99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9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9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9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98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958" xfId="12" applyNumberFormat="1" applyFont="1" applyFill="1" applyBorder="1" applyAlignment="1" applyProtection="1">
      <alignment horizontal="right" vertical="center"/>
      <protection locked="0"/>
    </xf>
    <xf numFmtId="4" fontId="40" fillId="0" borderId="958" xfId="12" applyNumberFormat="1" applyFont="1" applyFill="1" applyBorder="1" applyAlignment="1" applyProtection="1">
      <alignment horizontal="right" vertical="center"/>
      <protection locked="0"/>
    </xf>
    <xf numFmtId="3" fontId="43" fillId="0" borderId="1000" xfId="12" applyNumberFormat="1" applyFont="1" applyFill="1" applyBorder="1" applyAlignment="1" applyProtection="1">
      <alignment horizontal="right" vertical="center"/>
      <protection locked="0"/>
    </xf>
    <xf numFmtId="49" fontId="43" fillId="16" borderId="999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001" xfId="12" applyNumberFormat="1" applyFont="1" applyFill="1" applyBorder="1" applyAlignment="1" applyProtection="1">
      <alignment horizontal="right" vertical="center"/>
      <protection locked="0"/>
    </xf>
    <xf numFmtId="49" fontId="43" fillId="16" borderId="1002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98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03" xfId="12" applyNumberFormat="1" applyFont="1" applyFill="1" applyBorder="1" applyAlignment="1" applyProtection="1">
      <alignment horizontal="right" vertical="center"/>
      <protection locked="0"/>
    </xf>
    <xf numFmtId="2" fontId="43" fillId="0" borderId="99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04" xfId="12" applyNumberFormat="1" applyFont="1" applyFill="1" applyBorder="1" applyAlignment="1" applyProtection="1">
      <alignment horizontal="right" vertical="center"/>
      <protection locked="0"/>
    </xf>
    <xf numFmtId="3" fontId="43" fillId="0" borderId="1005" xfId="12" applyNumberFormat="1" applyFont="1" applyFill="1" applyBorder="1" applyAlignment="1" applyProtection="1">
      <alignment horizontal="right" vertical="center"/>
      <protection locked="0"/>
    </xf>
    <xf numFmtId="10" fontId="43" fillId="0" borderId="1004" xfId="12" applyNumberFormat="1" applyFont="1" applyFill="1" applyBorder="1" applyAlignment="1" applyProtection="1">
      <alignment horizontal="right" vertical="center"/>
      <protection locked="0"/>
    </xf>
    <xf numFmtId="49" fontId="43" fillId="16" borderId="100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0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08" xfId="12" applyNumberFormat="1" applyFont="1" applyFill="1" applyBorder="1" applyAlignment="1" applyProtection="1">
      <alignment horizontal="right" vertical="center"/>
      <protection locked="0"/>
    </xf>
    <xf numFmtId="3" fontId="43" fillId="0" borderId="1009" xfId="12" applyNumberFormat="1" applyFont="1" applyFill="1" applyBorder="1" applyAlignment="1" applyProtection="1">
      <alignment horizontal="right" vertical="center"/>
      <protection locked="0"/>
    </xf>
    <xf numFmtId="49" fontId="43" fillId="16" borderId="101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1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12" xfId="12" applyNumberFormat="1" applyFont="1" applyFill="1" applyBorder="1" applyAlignment="1" applyProtection="1">
      <alignment horizontal="right" vertical="center"/>
      <protection locked="0"/>
    </xf>
    <xf numFmtId="3" fontId="43" fillId="0" borderId="1013" xfId="12" applyNumberFormat="1" applyFont="1" applyFill="1" applyBorder="1" applyAlignment="1" applyProtection="1">
      <alignment horizontal="right" vertical="center"/>
      <protection locked="0"/>
    </xf>
    <xf numFmtId="49" fontId="43" fillId="16" borderId="1014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101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16" xfId="12" applyNumberFormat="1" applyFont="1" applyFill="1" applyBorder="1" applyAlignment="1" applyProtection="1">
      <alignment horizontal="right" vertical="center"/>
      <protection locked="0"/>
    </xf>
    <xf numFmtId="4" fontId="43" fillId="0" borderId="993" xfId="12" applyNumberFormat="1" applyFont="1" applyFill="1" applyBorder="1" applyAlignment="1" applyProtection="1">
      <alignment horizontal="right" vertical="center"/>
      <protection locked="0"/>
    </xf>
    <xf numFmtId="49" fontId="43" fillId="16" borderId="1017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1011" xfId="12" applyNumberFormat="1" applyFont="1" applyFill="1" applyBorder="1" applyAlignment="1" applyProtection="1">
      <alignment horizontal="left" vertical="center" wrapText="1"/>
      <protection locked="0"/>
    </xf>
    <xf numFmtId="49" fontId="40" fillId="17" borderId="1018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019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1020" xfId="12" applyNumberFormat="1" applyFont="1" applyFill="1" applyBorder="1" applyAlignment="1" applyProtection="1">
      <alignment horizontal="right" vertical="center"/>
      <protection locked="0"/>
    </xf>
    <xf numFmtId="10" fontId="40" fillId="13" borderId="932" xfId="12" applyNumberFormat="1" applyFont="1" applyFill="1" applyBorder="1" applyAlignment="1" applyProtection="1">
      <alignment horizontal="right" vertical="center"/>
      <protection locked="0"/>
    </xf>
    <xf numFmtId="49" fontId="61" fillId="18" borderId="1021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022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967" xfId="12" applyNumberFormat="1" applyFont="1" applyFill="1" applyBorder="1" applyAlignment="1" applyProtection="1">
      <alignment horizontal="right" vertical="center"/>
      <protection locked="0"/>
    </xf>
    <xf numFmtId="3" fontId="61" fillId="6" borderId="1023" xfId="12" applyNumberFormat="1" applyFont="1" applyFill="1" applyBorder="1" applyAlignment="1" applyProtection="1">
      <alignment horizontal="right" vertical="center"/>
      <protection locked="0"/>
    </xf>
    <xf numFmtId="3" fontId="40" fillId="0" borderId="99" xfId="12" applyNumberFormat="1" applyFont="1" applyFill="1" applyBorder="1" applyAlignment="1" applyProtection="1">
      <alignment horizontal="right" vertical="center"/>
      <protection locked="0"/>
    </xf>
    <xf numFmtId="49" fontId="43" fillId="16" borderId="102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2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28" xfId="12" applyNumberFormat="1" applyFont="1" applyFill="1" applyBorder="1" applyAlignment="1" applyProtection="1">
      <alignment horizontal="right" vertical="center"/>
      <protection locked="0"/>
    </xf>
    <xf numFmtId="49" fontId="43" fillId="16" borderId="102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3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31" xfId="12" applyNumberFormat="1" applyFont="1" applyFill="1" applyBorder="1" applyAlignment="1" applyProtection="1">
      <alignment horizontal="right" vertical="center"/>
      <protection locked="0"/>
    </xf>
    <xf numFmtId="3" fontId="43" fillId="0" borderId="1032" xfId="12" applyNumberFormat="1" applyFont="1" applyFill="1" applyBorder="1" applyAlignment="1" applyProtection="1">
      <alignment horizontal="right" vertical="center"/>
      <protection locked="0"/>
    </xf>
    <xf numFmtId="49" fontId="43" fillId="16" borderId="103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34" xfId="12" applyNumberFormat="1" applyFont="1" applyFill="1" applyBorder="1" applyAlignment="1" applyProtection="1">
      <alignment horizontal="right" vertical="center"/>
      <protection locked="0"/>
    </xf>
    <xf numFmtId="49" fontId="43" fillId="16" borderId="94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3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55" xfId="12" applyNumberFormat="1" applyFont="1" applyFill="1" applyBorder="1" applyAlignment="1" applyProtection="1">
      <alignment horizontal="right" vertical="center"/>
      <protection locked="0"/>
    </xf>
    <xf numFmtId="4" fontId="43" fillId="0" borderId="1034" xfId="12" applyNumberFormat="1" applyFont="1" applyFill="1" applyBorder="1" applyAlignment="1" applyProtection="1">
      <alignment horizontal="right" vertical="center"/>
      <protection locked="0"/>
    </xf>
    <xf numFmtId="49" fontId="43" fillId="16" borderId="103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3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39" xfId="12" applyNumberFormat="1" applyFont="1" applyFill="1" applyBorder="1" applyAlignment="1" applyProtection="1">
      <alignment horizontal="right" vertical="center"/>
      <protection locked="0"/>
    </xf>
    <xf numFmtId="3" fontId="43" fillId="0" borderId="1040" xfId="12" applyNumberFormat="1" applyFont="1" applyFill="1" applyBorder="1" applyAlignment="1" applyProtection="1">
      <alignment horizontal="right" vertical="center"/>
      <protection locked="0"/>
    </xf>
    <xf numFmtId="49" fontId="43" fillId="16" borderId="932" xfId="12" applyNumberFormat="1" applyFont="1" applyFill="1" applyBorder="1" applyAlignment="1" applyProtection="1">
      <alignment vertical="center" wrapText="1"/>
      <protection locked="0"/>
    </xf>
    <xf numFmtId="3" fontId="43" fillId="0" borderId="960" xfId="12" applyNumberFormat="1" applyFont="1" applyFill="1" applyBorder="1" applyAlignment="1" applyProtection="1">
      <alignment vertical="center"/>
      <protection locked="0"/>
    </xf>
    <xf numFmtId="3" fontId="41" fillId="0" borderId="937" xfId="12" applyNumberFormat="1" applyFont="1" applyFill="1" applyBorder="1" applyAlignment="1" applyProtection="1">
      <alignment vertical="center"/>
      <protection locked="0"/>
    </xf>
    <xf numFmtId="3" fontId="41" fillId="0" borderId="963" xfId="12" applyNumberFormat="1" applyFont="1" applyFill="1" applyBorder="1" applyAlignment="1" applyProtection="1">
      <alignment horizontal="right" vertical="center"/>
      <protection locked="0"/>
    </xf>
    <xf numFmtId="4" fontId="41" fillId="0" borderId="937" xfId="12" applyNumberFormat="1" applyFont="1" applyFill="1" applyBorder="1" applyAlignment="1" applyProtection="1">
      <alignment horizontal="right" vertical="center"/>
      <protection locked="0"/>
    </xf>
    <xf numFmtId="4" fontId="43" fillId="0" borderId="1041" xfId="12" applyNumberFormat="1" applyFont="1" applyFill="1" applyBorder="1" applyAlignment="1" applyProtection="1">
      <alignment horizontal="right" vertical="center"/>
      <protection locked="0"/>
    </xf>
    <xf numFmtId="3" fontId="41" fillId="0" borderId="1043" xfId="12" applyNumberFormat="1" applyFont="1" applyFill="1" applyBorder="1" applyAlignment="1" applyProtection="1">
      <alignment vertical="center"/>
      <protection locked="0"/>
    </xf>
    <xf numFmtId="3" fontId="41" fillId="0" borderId="1044" xfId="12" applyNumberFormat="1" applyFont="1" applyFill="1" applyBorder="1" applyAlignment="1" applyProtection="1">
      <alignment horizontal="right" vertical="center"/>
      <protection locked="0"/>
    </xf>
    <xf numFmtId="4" fontId="41" fillId="0" borderId="1043" xfId="12" applyNumberFormat="1" applyFont="1" applyFill="1" applyBorder="1" applyAlignment="1" applyProtection="1">
      <alignment horizontal="right" vertical="center"/>
      <protection locked="0"/>
    </xf>
    <xf numFmtId="3" fontId="43" fillId="0" borderId="937" xfId="12" applyNumberFormat="1" applyFont="1" applyFill="1" applyBorder="1" applyAlignment="1" applyProtection="1">
      <alignment vertical="center"/>
      <protection locked="0"/>
    </xf>
    <xf numFmtId="49" fontId="43" fillId="16" borderId="104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4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4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4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4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911" xfId="12" applyNumberFormat="1" applyFont="1" applyFill="1" applyBorder="1" applyAlignment="1" applyProtection="1">
      <alignment vertical="center"/>
      <protection locked="0"/>
    </xf>
    <xf numFmtId="3" fontId="43" fillId="0" borderId="1050" xfId="12" applyNumberFormat="1" applyFont="1" applyFill="1" applyBorder="1" applyAlignment="1" applyProtection="1">
      <alignment horizontal="right" vertical="center"/>
      <protection locked="0"/>
    </xf>
    <xf numFmtId="4" fontId="43" fillId="0" borderId="911" xfId="12" applyNumberFormat="1" applyFont="1" applyFill="1" applyBorder="1" applyAlignment="1" applyProtection="1">
      <alignment horizontal="right" vertical="center"/>
      <protection locked="0"/>
    </xf>
    <xf numFmtId="10" fontId="43" fillId="0" borderId="1051" xfId="12" applyNumberFormat="1" applyFont="1" applyFill="1" applyBorder="1" applyAlignment="1" applyProtection="1">
      <alignment horizontal="right" vertical="center"/>
      <protection locked="0"/>
    </xf>
    <xf numFmtId="3" fontId="43" fillId="0" borderId="1043" xfId="12" applyNumberFormat="1" applyFont="1" applyFill="1" applyBorder="1" applyAlignment="1" applyProtection="1">
      <alignment vertical="center"/>
      <protection locked="0"/>
    </xf>
    <xf numFmtId="4" fontId="43" fillId="0" borderId="1043" xfId="12" applyNumberFormat="1" applyFont="1" applyFill="1" applyBorder="1" applyAlignment="1" applyProtection="1">
      <alignment horizontal="right" vertical="center"/>
      <protection locked="0"/>
    </xf>
    <xf numFmtId="4" fontId="43" fillId="0" borderId="955" xfId="12" applyNumberFormat="1" applyFont="1" applyFill="1" applyBorder="1" applyAlignment="1" applyProtection="1">
      <alignment horizontal="right" vertical="center"/>
      <protection locked="0"/>
    </xf>
    <xf numFmtId="49" fontId="43" fillId="16" borderId="105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5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5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57" xfId="12" applyNumberFormat="1" applyFont="1" applyFill="1" applyBorder="1" applyAlignment="1" applyProtection="1">
      <alignment horizontal="right" vertical="center"/>
      <protection locked="0"/>
    </xf>
    <xf numFmtId="49" fontId="43" fillId="16" borderId="105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5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61" xfId="12" applyNumberFormat="1" applyFont="1" applyFill="1" applyBorder="1" applyAlignment="1" applyProtection="1">
      <alignment vertical="center"/>
      <protection locked="0"/>
    </xf>
    <xf numFmtId="3" fontId="43" fillId="0" borderId="1062" xfId="12" applyNumberFormat="1" applyFont="1" applyFill="1" applyBorder="1" applyAlignment="1" applyProtection="1">
      <alignment horizontal="right" vertical="center"/>
      <protection locked="0"/>
    </xf>
    <xf numFmtId="4" fontId="43" fillId="0" borderId="1061" xfId="12" applyNumberFormat="1" applyFont="1" applyFill="1" applyBorder="1" applyAlignment="1" applyProtection="1">
      <alignment horizontal="right" vertical="center"/>
      <protection locked="0"/>
    </xf>
    <xf numFmtId="49" fontId="43" fillId="16" borderId="1063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104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6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6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66" xfId="12" applyNumberFormat="1" applyFont="1" applyFill="1" applyBorder="1" applyAlignment="1" applyProtection="1">
      <alignment horizontal="right" vertical="center"/>
      <protection locked="0"/>
    </xf>
    <xf numFmtId="3" fontId="43" fillId="0" borderId="958" xfId="12" applyNumberFormat="1" applyFont="1" applyFill="1" applyBorder="1" applyAlignment="1" applyProtection="1">
      <alignment vertical="center"/>
      <protection locked="0"/>
    </xf>
    <xf numFmtId="49" fontId="43" fillId="16" borderId="106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6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6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7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71" xfId="12" applyNumberFormat="1" applyFont="1" applyFill="1" applyBorder="1" applyAlignment="1" applyProtection="1">
      <alignment horizontal="right" vertical="center"/>
      <protection locked="0"/>
    </xf>
    <xf numFmtId="10" fontId="43" fillId="0" borderId="1072" xfId="12" applyNumberFormat="1" applyFont="1" applyFill="1" applyBorder="1" applyAlignment="1" applyProtection="1">
      <alignment horizontal="right" vertical="center"/>
      <protection locked="0"/>
    </xf>
    <xf numFmtId="3" fontId="43" fillId="0" borderId="1073" xfId="12" applyNumberFormat="1" applyFont="1" applyFill="1" applyBorder="1" applyAlignment="1" applyProtection="1">
      <alignment horizontal="right" vertical="center"/>
      <protection locked="0"/>
    </xf>
    <xf numFmtId="3" fontId="43" fillId="0" borderId="1043" xfId="12" applyNumberFormat="1" applyFont="1" applyFill="1" applyBorder="1" applyAlignment="1" applyProtection="1">
      <alignment horizontal="right" vertical="center"/>
      <protection locked="0"/>
    </xf>
    <xf numFmtId="0" fontId="43" fillId="0" borderId="1074" xfId="11" applyFont="1" applyBorder="1" applyAlignment="1">
      <alignment horizontal="left" vertical="center" wrapText="1"/>
    </xf>
    <xf numFmtId="49" fontId="43" fillId="16" borderId="107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7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77" xfId="12" applyNumberFormat="1" applyFont="1" applyFill="1" applyBorder="1" applyAlignment="1" applyProtection="1">
      <alignment horizontal="right" vertical="center"/>
      <protection locked="0"/>
    </xf>
    <xf numFmtId="49" fontId="43" fillId="16" borderId="107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7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61" xfId="12" applyNumberFormat="1" applyFont="1" applyFill="1" applyBorder="1" applyAlignment="1" applyProtection="1">
      <alignment horizontal="right" vertical="center"/>
      <protection locked="0"/>
    </xf>
    <xf numFmtId="49" fontId="43" fillId="16" borderId="968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108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81" xfId="12" applyNumberFormat="1" applyFont="1" applyFill="1" applyBorder="1" applyAlignment="1" applyProtection="1">
      <alignment horizontal="right" vertical="center"/>
      <protection locked="0"/>
    </xf>
    <xf numFmtId="49" fontId="43" fillId="16" borderId="106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08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83" xfId="12" applyNumberFormat="1" applyFont="1" applyFill="1" applyBorder="1" applyAlignment="1" applyProtection="1">
      <alignment horizontal="right" vertical="center"/>
      <protection locked="0"/>
    </xf>
    <xf numFmtId="2" fontId="43" fillId="0" borderId="108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85" xfId="12" applyNumberFormat="1" applyFont="1" applyFill="1" applyBorder="1" applyAlignment="1" applyProtection="1">
      <alignment horizontal="center" vertical="center" wrapText="1"/>
      <protection locked="0"/>
    </xf>
    <xf numFmtId="2" fontId="43" fillId="0" borderId="212" xfId="12" applyNumberFormat="1" applyFont="1" applyFill="1" applyBorder="1" applyAlignment="1" applyProtection="1">
      <alignment horizontal="left" vertical="center" wrapText="1"/>
      <protection locked="0"/>
    </xf>
    <xf numFmtId="2" fontId="43" fillId="0" borderId="96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8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87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088" xfId="12" applyNumberFormat="1" applyFont="1" applyFill="1" applyBorder="1" applyAlignment="1" applyProtection="1">
      <alignment horizontal="right" vertical="center"/>
      <protection locked="0"/>
    </xf>
    <xf numFmtId="49" fontId="43" fillId="16" borderId="108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9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9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9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9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9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9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96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1043" xfId="12" applyNumberFormat="1" applyFont="1" applyFill="1" applyBorder="1" applyAlignment="1" applyProtection="1">
      <alignment horizontal="right" vertical="center"/>
      <protection locked="0"/>
    </xf>
    <xf numFmtId="3" fontId="40" fillId="0" borderId="1062" xfId="12" applyNumberFormat="1" applyFont="1" applyFill="1" applyBorder="1" applyAlignment="1" applyProtection="1">
      <alignment horizontal="right" vertical="center"/>
      <protection locked="0"/>
    </xf>
    <xf numFmtId="4" fontId="40" fillId="0" borderId="1043" xfId="12" applyNumberFormat="1" applyFont="1" applyFill="1" applyBorder="1" applyAlignment="1" applyProtection="1">
      <alignment horizontal="right" vertical="center"/>
      <protection locked="0"/>
    </xf>
    <xf numFmtId="3" fontId="43" fillId="0" borderId="1100" xfId="12" applyNumberFormat="1" applyFont="1" applyFill="1" applyBorder="1" applyAlignment="1" applyProtection="1">
      <alignment horizontal="right" vertical="center"/>
      <protection locked="0"/>
    </xf>
    <xf numFmtId="3" fontId="43" fillId="0" borderId="1101" xfId="12" applyNumberFormat="1" applyFont="1" applyFill="1" applyBorder="1" applyAlignment="1" applyProtection="1">
      <alignment horizontal="right" vertical="center"/>
      <protection locked="0"/>
    </xf>
    <xf numFmtId="4" fontId="43" fillId="0" borderId="1100" xfId="12" applyNumberFormat="1" applyFont="1" applyFill="1" applyBorder="1" applyAlignment="1" applyProtection="1">
      <alignment horizontal="right" vertical="center"/>
      <protection locked="0"/>
    </xf>
    <xf numFmtId="49" fontId="43" fillId="16" borderId="110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0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104" xfId="12" applyNumberFormat="1" applyFont="1" applyFill="1" applyBorder="1" applyAlignment="1" applyProtection="1">
      <alignment horizontal="right" vertical="center"/>
      <protection locked="0"/>
    </xf>
    <xf numFmtId="49" fontId="43" fillId="16" borderId="110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06" xfId="12" applyNumberFormat="1" applyFont="1" applyFill="1" applyBorder="1" applyAlignment="1" applyProtection="1">
      <alignment horizontal="left" vertical="center" wrapText="1"/>
      <protection locked="0"/>
    </xf>
    <xf numFmtId="49" fontId="40" fillId="17" borderId="888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889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890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888" xfId="12" applyNumberFormat="1" applyFont="1" applyFill="1" applyBorder="1" applyAlignment="1" applyProtection="1">
      <alignment horizontal="right" vertical="center"/>
      <protection locked="0"/>
    </xf>
    <xf numFmtId="4" fontId="40" fillId="13" borderId="888" xfId="12" applyNumberFormat="1" applyFont="1" applyFill="1" applyBorder="1" applyAlignment="1" applyProtection="1">
      <alignment horizontal="right" vertical="center"/>
      <protection locked="0"/>
    </xf>
    <xf numFmtId="10" fontId="40" fillId="6" borderId="888" xfId="12" applyNumberFormat="1" applyFont="1" applyFill="1" applyBorder="1" applyAlignment="1" applyProtection="1">
      <alignment horizontal="right" vertical="center"/>
      <protection locked="0"/>
    </xf>
    <xf numFmtId="3" fontId="40" fillId="0" borderId="1107" xfId="12" applyNumberFormat="1" applyFont="1" applyFill="1" applyBorder="1" applyAlignment="1" applyProtection="1">
      <alignment horizontal="right" vertical="center"/>
      <protection locked="0"/>
    </xf>
    <xf numFmtId="4" fontId="40" fillId="0" borderId="911" xfId="12" applyNumberFormat="1" applyFont="1" applyFill="1" applyBorder="1" applyAlignment="1" applyProtection="1">
      <alignment horizontal="right" vertical="center"/>
      <protection locked="0"/>
    </xf>
    <xf numFmtId="10" fontId="40" fillId="0" borderId="1051" xfId="12" applyNumberFormat="1" applyFont="1" applyFill="1" applyBorder="1" applyAlignment="1" applyProtection="1">
      <alignment horizontal="right" vertical="center"/>
      <protection locked="0"/>
    </xf>
    <xf numFmtId="49" fontId="43" fillId="16" borderId="110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0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1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1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1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62" xfId="12" applyNumberFormat="1" applyFont="1" applyFill="1" applyBorder="1" applyAlignment="1" applyProtection="1">
      <alignment vertical="center" wrapText="1"/>
      <protection locked="0"/>
    </xf>
    <xf numFmtId="49" fontId="43" fillId="16" borderId="1113" xfId="12" applyNumberFormat="1" applyFont="1" applyFill="1" applyBorder="1" applyAlignment="1" applyProtection="1">
      <alignment vertical="center" wrapText="1"/>
      <protection locked="0"/>
    </xf>
    <xf numFmtId="49" fontId="43" fillId="16" borderId="1043" xfId="12" applyNumberFormat="1" applyFont="1" applyFill="1" applyBorder="1" applyAlignment="1" applyProtection="1">
      <alignment vertical="center" wrapText="1"/>
      <protection locked="0"/>
    </xf>
    <xf numFmtId="49" fontId="43" fillId="16" borderId="88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9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888" xfId="12" applyNumberFormat="1" applyFont="1" applyFill="1" applyBorder="1" applyAlignment="1" applyProtection="1">
      <alignment horizontal="right" vertical="center"/>
      <protection locked="0"/>
    </xf>
    <xf numFmtId="3" fontId="43" fillId="0" borderId="1114" xfId="12" applyNumberFormat="1" applyFont="1" applyFill="1" applyBorder="1" applyAlignment="1" applyProtection="1">
      <alignment horizontal="right" vertical="center"/>
      <protection locked="0"/>
    </xf>
    <xf numFmtId="4" fontId="43" fillId="0" borderId="888" xfId="12" applyNumberFormat="1" applyFont="1" applyFill="1" applyBorder="1" applyAlignment="1" applyProtection="1">
      <alignment horizontal="right" vertical="center"/>
      <protection locked="0"/>
    </xf>
    <xf numFmtId="10" fontId="43" fillId="0" borderId="967" xfId="12" applyNumberFormat="1" applyFont="1" applyFill="1" applyBorder="1" applyAlignment="1" applyProtection="1">
      <alignment horizontal="right" vertical="center"/>
      <protection locked="0"/>
    </xf>
    <xf numFmtId="3" fontId="43" fillId="0" borderId="1118" xfId="12" applyNumberFormat="1" applyFont="1" applyFill="1" applyBorder="1" applyAlignment="1" applyProtection="1">
      <alignment horizontal="right" vertical="center"/>
      <protection locked="0"/>
    </xf>
    <xf numFmtId="4" fontId="43" fillId="0" borderId="1118" xfId="12" applyNumberFormat="1" applyFont="1" applyFill="1" applyBorder="1" applyAlignment="1" applyProtection="1">
      <alignment horizontal="right" vertical="center"/>
      <protection locked="0"/>
    </xf>
    <xf numFmtId="49" fontId="43" fillId="16" borderId="111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2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2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2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124" xfId="12" applyNumberFormat="1" applyFont="1" applyFill="1" applyBorder="1" applyAlignment="1" applyProtection="1">
      <alignment horizontal="right" vertical="center"/>
      <protection locked="0"/>
    </xf>
    <xf numFmtId="3" fontId="43" fillId="0" borderId="1125" xfId="12" applyNumberFormat="1" applyFont="1" applyFill="1" applyBorder="1" applyAlignment="1" applyProtection="1">
      <alignment horizontal="right" vertical="center"/>
      <protection locked="0"/>
    </xf>
    <xf numFmtId="49" fontId="43" fillId="16" borderId="112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2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2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2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3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3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24" xfId="12" applyNumberFormat="1" applyFont="1" applyFill="1" applyBorder="1" applyAlignment="1" applyProtection="1">
      <alignment vertical="center" wrapText="1"/>
      <protection locked="0"/>
    </xf>
    <xf numFmtId="49" fontId="43" fillId="16" borderId="1132" xfId="12" applyNumberFormat="1" applyFont="1" applyFill="1" applyBorder="1" applyAlignment="1" applyProtection="1">
      <alignment vertical="center" wrapText="1"/>
      <protection locked="0"/>
    </xf>
    <xf numFmtId="49" fontId="43" fillId="16" borderId="1118" xfId="12" applyNumberFormat="1" applyFont="1" applyFill="1" applyBorder="1" applyAlignment="1" applyProtection="1">
      <alignment vertical="center" wrapText="1"/>
      <protection locked="0"/>
    </xf>
    <xf numFmtId="10" fontId="43" fillId="0" borderId="1133" xfId="12" applyNumberFormat="1" applyFont="1" applyFill="1" applyBorder="1" applyAlignment="1" applyProtection="1">
      <alignment horizontal="right" vertical="center"/>
      <protection locked="0"/>
    </xf>
    <xf numFmtId="49" fontId="43" fillId="16" borderId="113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35" xfId="12" applyNumberFormat="1" applyFont="1" applyFill="1" applyBorder="1" applyAlignment="1" applyProtection="1">
      <alignment horizontal="left" vertical="center" wrapText="1"/>
      <protection locked="0"/>
    </xf>
    <xf numFmtId="10" fontId="40" fillId="0" borderId="1137" xfId="12" applyNumberFormat="1" applyFont="1" applyFill="1" applyBorder="1" applyAlignment="1" applyProtection="1">
      <alignment horizontal="right" vertical="center"/>
      <protection locked="0"/>
    </xf>
    <xf numFmtId="10" fontId="43" fillId="0" borderId="1137" xfId="12" applyNumberFormat="1" applyFont="1" applyFill="1" applyBorder="1" applyAlignment="1" applyProtection="1">
      <alignment horizontal="right" vertical="center"/>
      <protection locked="0"/>
    </xf>
    <xf numFmtId="49" fontId="43" fillId="16" borderId="1138" xfId="12" applyNumberFormat="1" applyFont="1" applyFill="1" applyBorder="1" applyAlignment="1" applyProtection="1">
      <alignment horizontal="center" vertical="center" wrapText="1"/>
      <protection locked="0"/>
    </xf>
    <xf numFmtId="10" fontId="40" fillId="6" borderId="967" xfId="12" applyNumberFormat="1" applyFont="1" applyFill="1" applyBorder="1" applyAlignment="1" applyProtection="1">
      <alignment horizontal="right" vertical="center"/>
      <protection locked="0"/>
    </xf>
    <xf numFmtId="3" fontId="43" fillId="4" borderId="1118" xfId="12" applyNumberFormat="1" applyFont="1" applyFill="1" applyBorder="1" applyAlignment="1" applyProtection="1">
      <alignment horizontal="right" vertical="center"/>
      <protection locked="0"/>
    </xf>
    <xf numFmtId="4" fontId="43" fillId="4" borderId="1118" xfId="12" applyNumberFormat="1" applyFont="1" applyFill="1" applyBorder="1" applyAlignment="1" applyProtection="1">
      <alignment horizontal="right" vertical="center"/>
      <protection locked="0"/>
    </xf>
    <xf numFmtId="49" fontId="43" fillId="19" borderId="1139" xfId="12" applyNumberFormat="1" applyFont="1" applyFill="1" applyBorder="1" applyAlignment="1" applyProtection="1">
      <alignment horizontal="center" vertical="center" wrapText="1"/>
      <protection locked="0"/>
    </xf>
    <xf numFmtId="49" fontId="61" fillId="19" borderId="23" xfId="12" applyNumberFormat="1" applyFont="1" applyFill="1" applyBorder="1" applyAlignment="1" applyProtection="1">
      <alignment horizontal="center" vertical="center" wrapText="1"/>
      <protection locked="0"/>
    </xf>
    <xf numFmtId="49" fontId="61" fillId="19" borderId="166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140" xfId="12" applyNumberFormat="1" applyFont="1" applyFill="1" applyBorder="1" applyAlignment="1" applyProtection="1">
      <alignment horizontal="right" vertical="center"/>
      <protection locked="0"/>
    </xf>
    <xf numFmtId="3" fontId="40" fillId="13" borderId="891" xfId="12" applyNumberFormat="1" applyFont="1" applyFill="1" applyBorder="1" applyAlignment="1" applyProtection="1">
      <alignment horizontal="right" vertical="center"/>
      <protection locked="0"/>
    </xf>
    <xf numFmtId="49" fontId="43" fillId="16" borderId="1141" xfId="12" applyNumberFormat="1" applyFont="1" applyFill="1" applyBorder="1" applyAlignment="1" applyProtection="1">
      <alignment horizontal="center" vertical="center" wrapText="1"/>
      <protection locked="0"/>
    </xf>
    <xf numFmtId="4" fontId="43" fillId="0" borderId="1140" xfId="12" applyNumberFormat="1" applyFont="1" applyFill="1" applyBorder="1" applyAlignment="1" applyProtection="1">
      <alignment horizontal="right" vertical="center"/>
      <protection locked="0"/>
    </xf>
    <xf numFmtId="3" fontId="43" fillId="0" borderId="1142" xfId="12" applyNumberFormat="1" applyFont="1" applyFill="1" applyBorder="1" applyAlignment="1" applyProtection="1">
      <alignment horizontal="right" vertical="center"/>
      <protection locked="0"/>
    </xf>
    <xf numFmtId="49" fontId="43" fillId="16" borderId="114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44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145" xfId="12" applyNumberFormat="1" applyFont="1" applyFill="1" applyBorder="1" applyAlignment="1" applyProtection="1">
      <alignment horizontal="right" vertical="center"/>
      <protection locked="0"/>
    </xf>
    <xf numFmtId="3" fontId="43" fillId="0" borderId="1146" xfId="12" applyNumberFormat="1" applyFont="1" applyFill="1" applyBorder="1" applyAlignment="1" applyProtection="1">
      <alignment horizontal="right" vertical="center"/>
      <protection locked="0"/>
    </xf>
    <xf numFmtId="4" fontId="43" fillId="0" borderId="1146" xfId="12" applyNumberFormat="1" applyFont="1" applyFill="1" applyBorder="1" applyAlignment="1" applyProtection="1">
      <alignment horizontal="right" vertical="center"/>
      <protection locked="0"/>
    </xf>
    <xf numFmtId="49" fontId="43" fillId="16" borderId="114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48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151" xfId="12" applyNumberFormat="1" applyFont="1" applyFill="1" applyBorder="1" applyAlignment="1" applyProtection="1">
      <alignment horizontal="right" vertical="center"/>
      <protection locked="0"/>
    </xf>
    <xf numFmtId="3" fontId="43" fillId="0" borderId="1154" xfId="12" applyNumberFormat="1" applyFont="1" applyFill="1" applyBorder="1" applyAlignment="1" applyProtection="1">
      <alignment horizontal="right" vertical="center"/>
      <protection locked="0"/>
    </xf>
    <xf numFmtId="3" fontId="43" fillId="0" borderId="1155" xfId="12" applyNumberFormat="1" applyFont="1" applyFill="1" applyBorder="1" applyAlignment="1" applyProtection="1">
      <alignment horizontal="right" vertical="center"/>
      <protection locked="0"/>
    </xf>
    <xf numFmtId="4" fontId="43" fillId="0" borderId="1154" xfId="12" applyNumberFormat="1" applyFont="1" applyFill="1" applyBorder="1" applyAlignment="1" applyProtection="1">
      <alignment horizontal="right" vertical="center"/>
      <protection locked="0"/>
    </xf>
    <xf numFmtId="49" fontId="43" fillId="16" borderId="115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5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5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5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3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60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932" xfId="12" applyNumberFormat="1" applyFont="1" applyFill="1" applyBorder="1" applyAlignment="1" applyProtection="1">
      <alignment horizontal="right" vertical="center"/>
      <protection locked="0"/>
    </xf>
    <xf numFmtId="3" fontId="43" fillId="0" borderId="1163" xfId="12" applyNumberFormat="1" applyFont="1" applyFill="1" applyBorder="1" applyAlignment="1" applyProtection="1">
      <alignment horizontal="right" vertical="center"/>
      <protection locked="0"/>
    </xf>
    <xf numFmtId="3" fontId="43" fillId="0" borderId="1164" xfId="12" applyNumberFormat="1" applyFont="1" applyFill="1" applyBorder="1" applyAlignment="1" applyProtection="1">
      <alignment horizontal="right" vertical="center"/>
      <protection locked="0"/>
    </xf>
    <xf numFmtId="49" fontId="43" fillId="16" borderId="116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67" xfId="12" applyNumberFormat="1" applyFont="1" applyFill="1" applyBorder="1" applyAlignment="1" applyProtection="1">
      <alignment horizontal="left" vertical="center" wrapText="1"/>
      <protection locked="0"/>
    </xf>
    <xf numFmtId="3" fontId="41" fillId="0" borderId="1154" xfId="12" applyNumberFormat="1" applyFont="1" applyFill="1" applyBorder="1" applyAlignment="1" applyProtection="1">
      <alignment horizontal="right" vertical="center"/>
      <protection locked="0"/>
    </xf>
    <xf numFmtId="4" fontId="41" fillId="0" borderId="1154" xfId="12" applyNumberFormat="1" applyFont="1" applyFill="1" applyBorder="1" applyAlignment="1" applyProtection="1">
      <alignment horizontal="right" vertical="center"/>
      <protection locked="0"/>
    </xf>
    <xf numFmtId="49" fontId="43" fillId="16" borderId="116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7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7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72" xfId="12" applyNumberFormat="1" applyFont="1" applyFill="1" applyBorder="1" applyAlignment="1" applyProtection="1">
      <alignment horizontal="center" vertical="center" wrapText="1"/>
      <protection locked="0"/>
    </xf>
    <xf numFmtId="3" fontId="41" fillId="0" borderId="1155" xfId="12" applyNumberFormat="1" applyFont="1" applyFill="1" applyBorder="1" applyAlignment="1" applyProtection="1">
      <alignment horizontal="right" vertical="center"/>
      <protection locked="0"/>
    </xf>
    <xf numFmtId="49" fontId="43" fillId="16" borderId="117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7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7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8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176" xfId="12" applyNumberFormat="1" applyFont="1" applyFill="1" applyBorder="1" applyAlignment="1" applyProtection="1">
      <alignment horizontal="right" vertical="center"/>
      <protection locked="0"/>
    </xf>
    <xf numFmtId="4" fontId="43" fillId="0" borderId="1176" xfId="12" applyNumberFormat="1" applyFont="1" applyFill="1" applyBorder="1" applyAlignment="1" applyProtection="1">
      <alignment horizontal="right" vertical="center"/>
      <protection locked="0"/>
    </xf>
    <xf numFmtId="49" fontId="43" fillId="16" borderId="1177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178" xfId="12" applyNumberFormat="1" applyFont="1" applyFill="1" applyBorder="1" applyAlignment="1" applyProtection="1">
      <alignment horizontal="right" vertical="center"/>
      <protection locked="0"/>
    </xf>
    <xf numFmtId="49" fontId="43" fillId="16" borderId="118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8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182" xfId="12" applyNumberFormat="1" applyFont="1" applyFill="1" applyBorder="1" applyAlignment="1" applyProtection="1">
      <alignment horizontal="right" vertical="center"/>
      <protection locked="0"/>
    </xf>
    <xf numFmtId="49" fontId="40" fillId="15" borderId="891" xfId="12" applyNumberFormat="1" applyFont="1" applyFill="1" applyBorder="1" applyAlignment="1" applyProtection="1">
      <alignment horizontal="center" vertical="center" wrapText="1"/>
      <protection locked="0"/>
    </xf>
    <xf numFmtId="49" fontId="40" fillId="15" borderId="932" xfId="12" applyNumberFormat="1" applyFont="1" applyFill="1" applyBorder="1" applyAlignment="1" applyProtection="1">
      <alignment horizontal="center" vertical="center" wrapText="1"/>
      <protection locked="0"/>
    </xf>
    <xf numFmtId="49" fontId="40" fillId="15" borderId="933" xfId="12" applyNumberFormat="1" applyFont="1" applyFill="1" applyBorder="1" applyAlignment="1" applyProtection="1">
      <alignment horizontal="center" vertical="center" wrapText="1"/>
      <protection locked="0"/>
    </xf>
    <xf numFmtId="49" fontId="40" fillId="15" borderId="934" xfId="12" applyNumberFormat="1" applyFont="1" applyFill="1" applyBorder="1" applyAlignment="1" applyProtection="1">
      <alignment horizontal="left" vertical="center" wrapText="1"/>
      <protection locked="0"/>
    </xf>
    <xf numFmtId="3" fontId="40" fillId="2" borderId="1183" xfId="12" applyNumberFormat="1" applyFont="1" applyFill="1" applyBorder="1" applyAlignment="1" applyProtection="1">
      <alignment horizontal="right" vertical="center"/>
      <protection locked="0"/>
    </xf>
    <xf numFmtId="3" fontId="40" fillId="2" borderId="1184" xfId="12" applyNumberFormat="1" applyFont="1" applyFill="1" applyBorder="1" applyAlignment="1" applyProtection="1">
      <alignment horizontal="right" vertical="center"/>
      <protection locked="0"/>
    </xf>
    <xf numFmtId="4" fontId="40" fillId="2" borderId="1184" xfId="12" applyNumberFormat="1" applyFont="1" applyFill="1" applyBorder="1" applyAlignment="1" applyProtection="1">
      <alignment horizontal="right" vertical="center"/>
      <protection locked="0"/>
    </xf>
    <xf numFmtId="10" fontId="40" fillId="13" borderId="1184" xfId="12" applyNumberFormat="1" applyFont="1" applyFill="1" applyBorder="1" applyAlignment="1" applyProtection="1">
      <alignment horizontal="right" vertical="center"/>
      <protection locked="0"/>
    </xf>
    <xf numFmtId="49" fontId="61" fillId="18" borderId="1184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185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186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1187" xfId="12" applyNumberFormat="1" applyFont="1" applyFill="1" applyBorder="1" applyAlignment="1" applyProtection="1">
      <alignment horizontal="right" vertical="center"/>
      <protection locked="0"/>
    </xf>
    <xf numFmtId="3" fontId="61" fillId="6" borderId="1184" xfId="12" applyNumberFormat="1" applyFont="1" applyFill="1" applyBorder="1" applyAlignment="1" applyProtection="1">
      <alignment horizontal="right" vertical="center"/>
      <protection locked="0"/>
    </xf>
    <xf numFmtId="4" fontId="61" fillId="6" borderId="1184" xfId="12" applyNumberFormat="1" applyFont="1" applyFill="1" applyBorder="1" applyAlignment="1" applyProtection="1">
      <alignment horizontal="right" vertical="center"/>
      <protection locked="0"/>
    </xf>
    <xf numFmtId="49" fontId="43" fillId="16" borderId="119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92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1193" xfId="12" applyNumberFormat="1" applyFont="1" applyFill="1" applyBorder="1" applyAlignment="1" applyProtection="1">
      <alignment horizontal="right" vertical="center"/>
      <protection locked="0"/>
    </xf>
    <xf numFmtId="3" fontId="61" fillId="6" borderId="1194" xfId="12" applyNumberFormat="1" applyFont="1" applyFill="1" applyBorder="1" applyAlignment="1" applyProtection="1">
      <alignment horizontal="right" vertical="center"/>
      <protection locked="0"/>
    </xf>
    <xf numFmtId="4" fontId="61" fillId="6" borderId="1195" xfId="12" applyNumberFormat="1" applyFont="1" applyFill="1" applyBorder="1" applyAlignment="1" applyProtection="1">
      <alignment horizontal="right" vertical="center"/>
      <protection locked="0"/>
    </xf>
    <xf numFmtId="3" fontId="43" fillId="0" borderId="1198" xfId="12" applyNumberFormat="1" applyFont="1" applyFill="1" applyBorder="1" applyAlignment="1" applyProtection="1">
      <alignment horizontal="right" vertical="center"/>
      <protection locked="0"/>
    </xf>
    <xf numFmtId="3" fontId="43" fillId="0" borderId="1199" xfId="12" applyNumberFormat="1" applyFont="1" applyFill="1" applyBorder="1" applyAlignment="1" applyProtection="1">
      <alignment horizontal="right" vertical="center"/>
      <protection locked="0"/>
    </xf>
    <xf numFmtId="3" fontId="43" fillId="4" borderId="678" xfId="12" applyNumberFormat="1" applyFont="1" applyFill="1" applyBorder="1" applyAlignment="1" applyProtection="1">
      <alignment horizontal="right" vertical="center"/>
      <protection locked="0"/>
    </xf>
    <xf numFmtId="3" fontId="43" fillId="4" borderId="1200" xfId="12" applyNumberFormat="1" applyFont="1" applyFill="1" applyBorder="1" applyAlignment="1" applyProtection="1">
      <alignment horizontal="right" vertical="center"/>
      <protection locked="0"/>
    </xf>
    <xf numFmtId="49" fontId="43" fillId="19" borderId="14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195" xfId="12" applyNumberFormat="1" applyFont="1" applyFill="1" applyBorder="1" applyAlignment="1" applyProtection="1">
      <alignment horizontal="center" vertical="center" wrapText="1"/>
      <protection locked="0"/>
    </xf>
    <xf numFmtId="4" fontId="61" fillId="6" borderId="1187" xfId="12" applyNumberFormat="1" applyFont="1" applyFill="1" applyBorder="1" applyAlignment="1" applyProtection="1">
      <alignment horizontal="right" vertical="center"/>
      <protection locked="0"/>
    </xf>
    <xf numFmtId="10" fontId="61" fillId="6" borderId="1184" xfId="12" applyNumberFormat="1" applyFont="1" applyFill="1" applyBorder="1" applyAlignment="1" applyProtection="1">
      <alignment horizontal="right" vertical="center"/>
      <protection locked="0"/>
    </xf>
    <xf numFmtId="3" fontId="43" fillId="0" borderId="1201" xfId="12" applyNumberFormat="1" applyFont="1" applyFill="1" applyBorder="1" applyAlignment="1" applyProtection="1">
      <alignment horizontal="right" vertical="center"/>
      <protection locked="0"/>
    </xf>
    <xf numFmtId="3" fontId="43" fillId="0" borderId="1202" xfId="12" applyNumberFormat="1" applyFont="1" applyFill="1" applyBorder="1" applyAlignment="1" applyProtection="1">
      <alignment horizontal="right" vertical="center"/>
      <protection locked="0"/>
    </xf>
    <xf numFmtId="3" fontId="41" fillId="0" borderId="1201" xfId="12" applyNumberFormat="1" applyFont="1" applyFill="1" applyBorder="1" applyAlignment="1" applyProtection="1">
      <alignment horizontal="right" vertical="center"/>
      <protection locked="0"/>
    </xf>
    <xf numFmtId="4" fontId="41" fillId="0" borderId="1201" xfId="12" applyNumberFormat="1" applyFont="1" applyFill="1" applyBorder="1" applyAlignment="1" applyProtection="1">
      <alignment horizontal="right" vertical="center"/>
      <protection locked="0"/>
    </xf>
    <xf numFmtId="49" fontId="43" fillId="16" borderId="120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0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05" xfId="12" applyNumberFormat="1" applyFont="1" applyFill="1" applyBorder="1" applyAlignment="1" applyProtection="1">
      <alignment horizontal="right" vertical="center"/>
      <protection locked="0"/>
    </xf>
    <xf numFmtId="49" fontId="43" fillId="16" borderId="120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9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681" xfId="12" applyNumberFormat="1" applyFont="1" applyFill="1" applyBorder="1" applyAlignment="1" applyProtection="1">
      <alignment horizontal="right" vertical="center"/>
      <protection locked="0"/>
    </xf>
    <xf numFmtId="3" fontId="43" fillId="0" borderId="1207" xfId="12" applyNumberFormat="1" applyFont="1" applyFill="1" applyBorder="1" applyAlignment="1" applyProtection="1">
      <alignment horizontal="right" vertical="center"/>
      <protection locked="0"/>
    </xf>
    <xf numFmtId="4" fontId="43" fillId="0" borderId="1208" xfId="12" applyNumberFormat="1" applyFont="1" applyFill="1" applyBorder="1" applyAlignment="1" applyProtection="1">
      <alignment horizontal="right" vertical="center"/>
      <protection locked="0"/>
    </xf>
    <xf numFmtId="49" fontId="43" fillId="0" borderId="69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09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1210" xfId="12" applyNumberFormat="1" applyFont="1" applyFill="1" applyBorder="1" applyAlignment="1" applyProtection="1">
      <alignment horizontal="center" vertical="center" wrapText="1"/>
      <protection locked="0"/>
    </xf>
    <xf numFmtId="3" fontId="61" fillId="6" borderId="1211" xfId="12" applyNumberFormat="1" applyFont="1" applyFill="1" applyBorder="1" applyAlignment="1" applyProtection="1">
      <alignment horizontal="right" vertical="center"/>
      <protection locked="0"/>
    </xf>
    <xf numFmtId="3" fontId="61" fillId="6" borderId="1212" xfId="12" applyNumberFormat="1" applyFont="1" applyFill="1" applyBorder="1" applyAlignment="1" applyProtection="1">
      <alignment horizontal="right" vertical="center"/>
      <protection locked="0"/>
    </xf>
    <xf numFmtId="49" fontId="43" fillId="16" borderId="1210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08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1207" xfId="12" applyNumberFormat="1" applyFont="1" applyFill="1" applyBorder="1" applyAlignment="1" applyProtection="1">
      <alignment horizontal="right" vertical="center"/>
      <protection locked="0"/>
    </xf>
    <xf numFmtId="3" fontId="43" fillId="0" borderId="1213" xfId="12" applyNumberFormat="1" applyFont="1" applyFill="1" applyBorder="1" applyAlignment="1" applyProtection="1">
      <alignment horizontal="right" vertical="center"/>
      <protection locked="0"/>
    </xf>
    <xf numFmtId="3" fontId="43" fillId="0" borderId="1214" xfId="12" applyNumberFormat="1" applyFont="1" applyFill="1" applyBorder="1" applyAlignment="1" applyProtection="1">
      <alignment horizontal="right" vertical="center"/>
      <protection locked="0"/>
    </xf>
    <xf numFmtId="4" fontId="43" fillId="0" borderId="1163" xfId="12" applyNumberFormat="1" applyFont="1" applyFill="1" applyBorder="1" applyAlignment="1" applyProtection="1">
      <alignment horizontal="right" vertical="center"/>
      <protection locked="0"/>
    </xf>
    <xf numFmtId="49" fontId="43" fillId="16" borderId="1215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216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1" xfId="12" applyNumberFormat="1" applyFont="1" applyFill="1" applyBorder="1" applyAlignment="1" applyProtection="1">
      <alignment horizontal="right" vertical="center"/>
      <protection locked="0"/>
    </xf>
    <xf numFmtId="3" fontId="61" fillId="6" borderId="1217" xfId="12" applyNumberFormat="1" applyFont="1" applyFill="1" applyBorder="1" applyAlignment="1" applyProtection="1">
      <alignment horizontal="right" vertical="center"/>
      <protection locked="0"/>
    </xf>
    <xf numFmtId="3" fontId="61" fillId="6" borderId="1218" xfId="12" applyNumberFormat="1" applyFont="1" applyFill="1" applyBorder="1" applyAlignment="1" applyProtection="1">
      <alignment horizontal="right" vertical="center"/>
      <protection locked="0"/>
    </xf>
    <xf numFmtId="4" fontId="61" fillId="6" borderId="1219" xfId="12" applyNumberFormat="1" applyFont="1" applyFill="1" applyBorder="1" applyAlignment="1" applyProtection="1">
      <alignment horizontal="right" vertical="center"/>
      <protection locked="0"/>
    </xf>
    <xf numFmtId="10" fontId="61" fillId="6" borderId="1195" xfId="12" applyNumberFormat="1" applyFont="1" applyFill="1" applyBorder="1" applyAlignment="1" applyProtection="1">
      <alignment horizontal="right" vertical="center"/>
      <protection locked="0"/>
    </xf>
    <xf numFmtId="49" fontId="43" fillId="16" borderId="1208" xfId="12" applyNumberFormat="1" applyFont="1" applyFill="1" applyBorder="1" applyAlignment="1" applyProtection="1">
      <alignment vertical="center" wrapText="1"/>
      <protection locked="0"/>
    </xf>
    <xf numFmtId="49" fontId="43" fillId="0" borderId="1208" xfId="12" applyNumberFormat="1" applyFont="1" applyFill="1" applyBorder="1" applyAlignment="1" applyProtection="1">
      <alignment vertical="center" wrapText="1"/>
      <protection locked="0"/>
    </xf>
    <xf numFmtId="49" fontId="43" fillId="16" borderId="1220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221" xfId="12" applyNumberFormat="1" applyFont="1" applyFill="1" applyBorder="1" applyAlignment="1" applyProtection="1">
      <alignment horizontal="center" vertical="center" wrapText="1"/>
      <protection locked="0"/>
    </xf>
    <xf numFmtId="3" fontId="61" fillId="6" borderId="1222" xfId="12" applyNumberFormat="1" applyFont="1" applyFill="1" applyBorder="1" applyAlignment="1" applyProtection="1">
      <alignment horizontal="right" vertical="center"/>
      <protection locked="0"/>
    </xf>
    <xf numFmtId="4" fontId="61" fillId="6" borderId="1218" xfId="12" applyNumberFormat="1" applyFont="1" applyFill="1" applyBorder="1" applyAlignment="1" applyProtection="1">
      <alignment horizontal="right" vertical="center"/>
      <protection locked="0"/>
    </xf>
    <xf numFmtId="10" fontId="61" fillId="6" borderId="1221" xfId="12" applyNumberFormat="1" applyFont="1" applyFill="1" applyBorder="1" applyAlignment="1" applyProtection="1">
      <alignment horizontal="right" vertical="center"/>
      <protection locked="0"/>
    </xf>
    <xf numFmtId="4" fontId="43" fillId="0" borderId="1213" xfId="12" applyNumberFormat="1" applyFont="1" applyFill="1" applyBorder="1" applyAlignment="1" applyProtection="1">
      <alignment horizontal="right" vertical="center"/>
      <protection locked="0"/>
    </xf>
    <xf numFmtId="49" fontId="43" fillId="16" borderId="1208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223" xfId="12" applyNumberFormat="1" applyFont="1" applyFill="1" applyBorder="1" applyAlignment="1" applyProtection="1">
      <alignment horizontal="right" vertical="center"/>
      <protection locked="0"/>
    </xf>
    <xf numFmtId="49" fontId="61" fillId="18" borderId="1224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1225" xfId="12" applyNumberFormat="1" applyFont="1" applyFill="1" applyBorder="1" applyAlignment="1" applyProtection="1">
      <alignment horizontal="right" vertical="center"/>
      <protection locked="0"/>
    </xf>
    <xf numFmtId="3" fontId="61" fillId="6" borderId="1226" xfId="12" applyNumberFormat="1" applyFont="1" applyFill="1" applyBorder="1" applyAlignment="1" applyProtection="1">
      <alignment horizontal="right" vertical="center"/>
      <protection locked="0"/>
    </xf>
    <xf numFmtId="4" fontId="61" fillId="6" borderId="1224" xfId="12" applyNumberFormat="1" applyFont="1" applyFill="1" applyBorder="1" applyAlignment="1" applyProtection="1">
      <alignment horizontal="right" vertical="center"/>
      <protection locked="0"/>
    </xf>
    <xf numFmtId="3" fontId="41" fillId="0" borderId="1202" xfId="12" applyNumberFormat="1" applyFont="1" applyFill="1" applyBorder="1" applyAlignment="1" applyProtection="1">
      <alignment horizontal="right" vertical="center"/>
      <protection locked="0"/>
    </xf>
    <xf numFmtId="4" fontId="41" fillId="0" borderId="1118" xfId="12" applyNumberFormat="1" applyFont="1" applyFill="1" applyBorder="1" applyAlignment="1" applyProtection="1">
      <alignment horizontal="right" vertical="center"/>
      <protection locked="0"/>
    </xf>
    <xf numFmtId="49" fontId="43" fillId="0" borderId="1191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19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27" xfId="12" applyNumberFormat="1" applyFont="1" applyFill="1" applyBorder="1" applyAlignment="1" applyProtection="1">
      <alignment horizontal="right" vertical="center"/>
      <protection locked="0"/>
    </xf>
    <xf numFmtId="49" fontId="61" fillId="18" borderId="1229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230" xfId="12" applyNumberFormat="1" applyFont="1" applyFill="1" applyBorder="1" applyAlignment="1" applyProtection="1">
      <alignment horizontal="left" vertical="center" wrapText="1"/>
      <protection locked="0"/>
    </xf>
    <xf numFmtId="4" fontId="61" fillId="6" borderId="1231" xfId="12" applyNumberFormat="1" applyFont="1" applyFill="1" applyBorder="1" applyAlignment="1" applyProtection="1">
      <alignment horizontal="right" vertical="center"/>
      <protection locked="0"/>
    </xf>
    <xf numFmtId="10" fontId="61" fillId="6" borderId="1231" xfId="12" applyNumberFormat="1" applyFont="1" applyFill="1" applyBorder="1" applyAlignment="1" applyProtection="1">
      <alignment horizontal="right" vertical="center"/>
      <protection locked="0"/>
    </xf>
    <xf numFmtId="3" fontId="41" fillId="0" borderId="1213" xfId="12" applyNumberFormat="1" applyFont="1" applyFill="1" applyBorder="1" applyAlignment="1" applyProtection="1">
      <alignment horizontal="right" vertical="center"/>
      <protection locked="0"/>
    </xf>
    <xf numFmtId="3" fontId="41" fillId="0" borderId="1214" xfId="12" applyNumberFormat="1" applyFont="1" applyFill="1" applyBorder="1" applyAlignment="1" applyProtection="1">
      <alignment horizontal="right" vertical="center"/>
      <protection locked="0"/>
    </xf>
    <xf numFmtId="4" fontId="41" fillId="0" borderId="1163" xfId="12" applyNumberFormat="1" applyFont="1" applyFill="1" applyBorder="1" applyAlignment="1" applyProtection="1">
      <alignment horizontal="right" vertical="center"/>
      <protection locked="0"/>
    </xf>
    <xf numFmtId="49" fontId="43" fillId="0" borderId="1197" xfId="12" applyNumberFormat="1" applyFont="1" applyFill="1" applyBorder="1" applyAlignment="1" applyProtection="1">
      <alignment horizontal="left" vertical="center" wrapText="1"/>
      <protection locked="0"/>
    </xf>
    <xf numFmtId="4" fontId="41" fillId="0" borderId="1213" xfId="12" applyNumberFormat="1" applyFont="1" applyFill="1" applyBorder="1" applyAlignment="1" applyProtection="1">
      <alignment horizontal="right" vertical="center"/>
      <protection locked="0"/>
    </xf>
    <xf numFmtId="49" fontId="43" fillId="16" borderId="1232" xfId="12" applyNumberFormat="1" applyFont="1" applyFill="1" applyBorder="1" applyAlignment="1" applyProtection="1">
      <alignment horizontal="left" vertical="center" wrapText="1"/>
      <protection locked="0"/>
    </xf>
    <xf numFmtId="49" fontId="61" fillId="18" borderId="1231" xfId="12" applyNumberFormat="1" applyFont="1" applyFill="1" applyBorder="1" applyAlignment="1" applyProtection="1">
      <alignment horizontal="center" vertical="center" wrapText="1"/>
      <protection locked="0"/>
    </xf>
    <xf numFmtId="4" fontId="61" fillId="6" borderId="1221" xfId="12" applyNumberFormat="1" applyFont="1" applyFill="1" applyBorder="1" applyAlignment="1" applyProtection="1">
      <alignment horizontal="right" vertical="center"/>
      <protection locked="0"/>
    </xf>
    <xf numFmtId="3" fontId="43" fillId="0" borderId="674" xfId="12" applyNumberFormat="1" applyFont="1" applyFill="1" applyBorder="1" applyAlignment="1" applyProtection="1">
      <alignment horizontal="right" vertical="center"/>
      <protection locked="0"/>
    </xf>
    <xf numFmtId="3" fontId="43" fillId="0" borderId="675" xfId="12" applyNumberFormat="1" applyFont="1" applyFill="1" applyBorder="1" applyAlignment="1" applyProtection="1">
      <alignment horizontal="right" vertical="center"/>
      <protection locked="0"/>
    </xf>
    <xf numFmtId="3" fontId="40" fillId="0" borderId="1227" xfId="12" applyNumberFormat="1" applyFont="1" applyFill="1" applyBorder="1" applyAlignment="1" applyProtection="1">
      <alignment horizontal="right" vertical="center"/>
      <protection locked="0"/>
    </xf>
    <xf numFmtId="3" fontId="40" fillId="0" borderId="1233" xfId="12" applyNumberFormat="1" applyFont="1" applyFill="1" applyBorder="1" applyAlignment="1" applyProtection="1">
      <alignment horizontal="right" vertical="center"/>
      <protection locked="0"/>
    </xf>
    <xf numFmtId="4" fontId="40" fillId="0" borderId="1208" xfId="12" applyNumberFormat="1" applyFont="1" applyFill="1" applyBorder="1" applyAlignment="1" applyProtection="1">
      <alignment horizontal="right" vertical="center"/>
      <protection locked="0"/>
    </xf>
    <xf numFmtId="3" fontId="43" fillId="0" borderId="1236" xfId="12" applyNumberFormat="1" applyFont="1" applyFill="1" applyBorder="1" applyAlignment="1" applyProtection="1">
      <alignment horizontal="right" vertical="center"/>
      <protection locked="0"/>
    </xf>
    <xf numFmtId="49" fontId="43" fillId="16" borderId="123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3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39" xfId="12" applyNumberFormat="1" applyFont="1" applyFill="1" applyBorder="1" applyAlignment="1" applyProtection="1">
      <alignment horizontal="right" vertical="center"/>
      <protection locked="0"/>
    </xf>
    <xf numFmtId="3" fontId="43" fillId="0" borderId="1240" xfId="12" applyNumberFormat="1" applyFont="1" applyFill="1" applyBorder="1" applyAlignment="1" applyProtection="1">
      <alignment horizontal="right" vertical="center"/>
      <protection locked="0"/>
    </xf>
    <xf numFmtId="49" fontId="43" fillId="16" borderId="124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4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5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43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43" xfId="12" applyNumberFormat="1" applyFont="1" applyFill="1" applyBorder="1" applyAlignment="1" applyProtection="1">
      <alignment horizontal="right" vertical="center"/>
      <protection locked="0"/>
    </xf>
    <xf numFmtId="10" fontId="43" fillId="0" borderId="1244" xfId="12" applyNumberFormat="1" applyFont="1" applyFill="1" applyBorder="1" applyAlignment="1" applyProtection="1">
      <alignment horizontal="right" vertical="center"/>
      <protection locked="0"/>
    </xf>
    <xf numFmtId="3" fontId="41" fillId="0" borderId="1227" xfId="12" applyNumberFormat="1" applyFont="1" applyFill="1" applyBorder="1" applyAlignment="1" applyProtection="1">
      <alignment horizontal="right" vertical="center"/>
      <protection locked="0"/>
    </xf>
    <xf numFmtId="4" fontId="41" fillId="0" borderId="1227" xfId="12" applyNumberFormat="1" applyFont="1" applyFill="1" applyBorder="1" applyAlignment="1" applyProtection="1">
      <alignment horizontal="right" vertical="center"/>
      <protection locked="0"/>
    </xf>
    <xf numFmtId="3" fontId="41" fillId="0" borderId="269" xfId="12" applyNumberFormat="1" applyFont="1" applyFill="1" applyBorder="1" applyAlignment="1" applyProtection="1">
      <alignment horizontal="right" vertical="center"/>
      <protection locked="0"/>
    </xf>
    <xf numFmtId="3" fontId="40" fillId="0" borderId="1245" xfId="12" applyNumberFormat="1" applyFont="1" applyFill="1" applyBorder="1" applyAlignment="1" applyProtection="1">
      <alignment horizontal="right" vertical="center"/>
      <protection locked="0"/>
    </xf>
    <xf numFmtId="3" fontId="40" fillId="0" borderId="1246" xfId="12" applyNumberFormat="1" applyFont="1" applyFill="1" applyBorder="1" applyAlignment="1" applyProtection="1">
      <alignment horizontal="right" vertical="center"/>
      <protection locked="0"/>
    </xf>
    <xf numFmtId="4" fontId="40" fillId="0" borderId="1245" xfId="12" applyNumberFormat="1" applyFont="1" applyFill="1" applyBorder="1" applyAlignment="1" applyProtection="1">
      <alignment horizontal="right" vertical="center"/>
      <protection locked="0"/>
    </xf>
    <xf numFmtId="3" fontId="41" fillId="0" borderId="1118" xfId="12" applyNumberFormat="1" applyFont="1" applyFill="1" applyBorder="1" applyAlignment="1" applyProtection="1">
      <alignment horizontal="right" vertical="center"/>
      <protection locked="0"/>
    </xf>
    <xf numFmtId="0" fontId="43" fillId="0" borderId="379" xfId="12" applyNumberFormat="1" applyFont="1" applyFill="1" applyBorder="1" applyAlignment="1" applyProtection="1">
      <alignment horizontal="center" vertical="center"/>
      <protection locked="0"/>
    </xf>
    <xf numFmtId="0" fontId="43" fillId="0" borderId="1248" xfId="12" applyNumberFormat="1" applyFont="1" applyFill="1" applyBorder="1" applyAlignment="1" applyProtection="1">
      <alignment horizontal="left" vertical="center"/>
      <protection locked="0"/>
    </xf>
    <xf numFmtId="3" fontId="43" fillId="0" borderId="1165" xfId="12" applyNumberFormat="1" applyFont="1" applyFill="1" applyBorder="1" applyAlignment="1" applyProtection="1">
      <alignment horizontal="center" vertical="center"/>
      <protection locked="0"/>
    </xf>
    <xf numFmtId="3" fontId="43" fillId="0" borderId="1249" xfId="12" applyNumberFormat="1" applyFont="1" applyFill="1" applyBorder="1" applyAlignment="1" applyProtection="1">
      <alignment horizontal="right" vertical="center"/>
      <protection locked="0"/>
    </xf>
    <xf numFmtId="49" fontId="43" fillId="0" borderId="1250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51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4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165" xfId="12" applyNumberFormat="1" applyFont="1" applyFill="1" applyBorder="1" applyAlignment="1" applyProtection="1">
      <alignment horizontal="right" vertical="center"/>
      <protection locked="0"/>
    </xf>
    <xf numFmtId="49" fontId="43" fillId="0" borderId="125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53" xfId="12" applyNumberFormat="1" applyFont="1" applyFill="1" applyBorder="1" applyAlignment="1" applyProtection="1">
      <alignment horizontal="right" vertical="center"/>
      <protection locked="0"/>
    </xf>
    <xf numFmtId="49" fontId="43" fillId="0" borderId="1173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5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54" xfId="12" applyNumberFormat="1" applyFont="1" applyFill="1" applyBorder="1" applyAlignment="1" applyProtection="1">
      <alignment horizontal="right" vertical="center"/>
      <protection locked="0"/>
    </xf>
    <xf numFmtId="49" fontId="43" fillId="16" borderId="1255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08" xfId="12" applyNumberFormat="1" applyFont="1" applyFill="1" applyBorder="1" applyAlignment="1" applyProtection="1">
      <alignment horizontal="right" vertical="center"/>
      <protection locked="0"/>
    </xf>
    <xf numFmtId="49" fontId="43" fillId="16" borderId="125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60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1118" xfId="12" applyNumberFormat="1" applyFont="1" applyFill="1" applyBorder="1" applyAlignment="1" applyProtection="1">
      <alignment horizontal="right" vertical="center"/>
      <protection locked="0"/>
    </xf>
    <xf numFmtId="4" fontId="40" fillId="0" borderId="1118" xfId="12" applyNumberFormat="1" applyFont="1" applyFill="1" applyBorder="1" applyAlignment="1" applyProtection="1">
      <alignment horizontal="right" vertical="center"/>
      <protection locked="0"/>
    </xf>
    <xf numFmtId="0" fontId="43" fillId="0" borderId="1264" xfId="11" applyFont="1" applyBorder="1" applyAlignment="1">
      <alignment horizontal="left" vertical="center" wrapText="1"/>
    </xf>
    <xf numFmtId="3" fontId="43" fillId="0" borderId="1265" xfId="12" applyNumberFormat="1" applyFont="1" applyFill="1" applyBorder="1" applyAlignment="1" applyProtection="1">
      <alignment horizontal="right" vertical="center"/>
      <protection locked="0"/>
    </xf>
    <xf numFmtId="49" fontId="40" fillId="17" borderId="1219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196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266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267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1208" xfId="12" applyNumberFormat="1" applyFont="1" applyFill="1" applyBorder="1" applyAlignment="1" applyProtection="1">
      <alignment horizontal="right" vertical="center"/>
      <protection locked="0"/>
    </xf>
    <xf numFmtId="3" fontId="40" fillId="13" borderId="1195" xfId="12" applyNumberFormat="1" applyFont="1" applyFill="1" applyBorder="1" applyAlignment="1" applyProtection="1">
      <alignment horizontal="right" vertical="center"/>
      <protection locked="0"/>
    </xf>
    <xf numFmtId="3" fontId="40" fillId="13" borderId="1219" xfId="12" applyNumberFormat="1" applyFont="1" applyFill="1" applyBorder="1" applyAlignment="1" applyProtection="1">
      <alignment horizontal="right" vertical="center"/>
      <protection locked="0"/>
    </xf>
    <xf numFmtId="4" fontId="40" fillId="13" borderId="1195" xfId="12" applyNumberFormat="1" applyFont="1" applyFill="1" applyBorder="1" applyAlignment="1" applyProtection="1">
      <alignment horizontal="right" vertical="center"/>
      <protection locked="0"/>
    </xf>
    <xf numFmtId="10" fontId="40" fillId="13" borderId="1195" xfId="12" applyNumberFormat="1" applyFont="1" applyFill="1" applyBorder="1" applyAlignment="1" applyProtection="1">
      <alignment horizontal="right" vertical="center"/>
      <protection locked="0"/>
    </xf>
    <xf numFmtId="3" fontId="61" fillId="6" borderId="1195" xfId="12" applyNumberFormat="1" applyFont="1" applyFill="1" applyBorder="1" applyAlignment="1" applyProtection="1">
      <alignment horizontal="right" vertical="center"/>
      <protection locked="0"/>
    </xf>
    <xf numFmtId="49" fontId="43" fillId="0" borderId="1269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70" xfId="12" applyNumberFormat="1" applyFont="1" applyFill="1" applyBorder="1" applyAlignment="1" applyProtection="1">
      <alignment horizontal="right" vertical="center"/>
      <protection locked="0"/>
    </xf>
    <xf numFmtId="49" fontId="43" fillId="16" borderId="127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5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72" xfId="12" applyNumberFormat="1" applyFont="1" applyFill="1" applyBorder="1" applyAlignment="1" applyProtection="1">
      <alignment horizontal="right" vertical="center"/>
      <protection locked="0"/>
    </xf>
    <xf numFmtId="3" fontId="43" fillId="0" borderId="1263" xfId="12" applyNumberFormat="1" applyFont="1" applyFill="1" applyBorder="1" applyAlignment="1" applyProtection="1">
      <alignment horizontal="right" vertical="center"/>
      <protection locked="0"/>
    </xf>
    <xf numFmtId="49" fontId="43" fillId="16" borderId="1273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274" xfId="12" applyNumberFormat="1" applyFont="1" applyFill="1" applyBorder="1" applyAlignment="1" applyProtection="1">
      <alignment horizontal="right" vertical="center"/>
      <protection locked="0"/>
    </xf>
    <xf numFmtId="10" fontId="43" fillId="0" borderId="1165" xfId="12" applyNumberFormat="1" applyFont="1" applyFill="1" applyBorder="1" applyAlignment="1" applyProtection="1">
      <alignment horizontal="right" vertical="center"/>
      <protection locked="0"/>
    </xf>
    <xf numFmtId="0" fontId="43" fillId="0" borderId="1275" xfId="11" applyFont="1" applyBorder="1" applyAlignment="1">
      <alignment horizontal="left" vertical="center" wrapText="1"/>
    </xf>
    <xf numFmtId="49" fontId="43" fillId="16" borderId="127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77" xfId="12" applyNumberFormat="1" applyFont="1" applyFill="1" applyBorder="1" applyAlignment="1" applyProtection="1">
      <alignment horizontal="left" vertical="center" wrapText="1"/>
      <protection locked="0"/>
    </xf>
    <xf numFmtId="3" fontId="61" fillId="6" borderId="1219" xfId="12" applyNumberFormat="1" applyFont="1" applyFill="1" applyBorder="1" applyAlignment="1" applyProtection="1">
      <alignment horizontal="right" vertical="center"/>
      <protection locked="0"/>
    </xf>
    <xf numFmtId="49" fontId="43" fillId="16" borderId="127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77" xfId="11" applyNumberFormat="1" applyFont="1" applyBorder="1" applyAlignment="1">
      <alignment vertical="center" wrapText="1"/>
    </xf>
    <xf numFmtId="3" fontId="43" fillId="0" borderId="1279" xfId="12" applyNumberFormat="1" applyFont="1" applyFill="1" applyBorder="1" applyAlignment="1" applyProtection="1">
      <alignment horizontal="right" vertical="center"/>
      <protection locked="0"/>
    </xf>
    <xf numFmtId="49" fontId="43" fillId="16" borderId="1280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281" xfId="12" applyNumberFormat="1" applyFont="1" applyFill="1" applyBorder="1" applyAlignment="1" applyProtection="1">
      <alignment horizontal="right" vertical="center"/>
      <protection locked="0"/>
    </xf>
    <xf numFmtId="4" fontId="43" fillId="0" borderId="1254" xfId="12" applyNumberFormat="1" applyFont="1" applyFill="1" applyBorder="1" applyAlignment="1" applyProtection="1">
      <alignment horizontal="right" vertical="center"/>
      <protection locked="0"/>
    </xf>
    <xf numFmtId="3" fontId="40" fillId="0" borderId="1164" xfId="12" applyNumberFormat="1" applyFont="1" applyFill="1" applyBorder="1" applyAlignment="1" applyProtection="1">
      <alignment horizontal="right" vertical="center"/>
      <protection locked="0"/>
    </xf>
    <xf numFmtId="3" fontId="40" fillId="0" borderId="1272" xfId="12" applyNumberFormat="1" applyFont="1" applyFill="1" applyBorder="1" applyAlignment="1" applyProtection="1">
      <alignment horizontal="right" vertical="center"/>
      <protection locked="0"/>
    </xf>
    <xf numFmtId="10" fontId="40" fillId="0" borderId="1165" xfId="12" applyNumberFormat="1" applyFont="1" applyFill="1" applyBorder="1" applyAlignment="1" applyProtection="1">
      <alignment horizontal="right" vertical="center"/>
      <protection locked="0"/>
    </xf>
    <xf numFmtId="3" fontId="43" fillId="0" borderId="1209" xfId="12" applyNumberFormat="1" applyFont="1" applyFill="1" applyBorder="1" applyAlignment="1" applyProtection="1">
      <alignment horizontal="right" vertical="center"/>
      <protection locked="0"/>
    </xf>
    <xf numFmtId="10" fontId="43" fillId="0" borderId="1283" xfId="12" applyNumberFormat="1" applyFont="1" applyFill="1" applyBorder="1" applyAlignment="1" applyProtection="1">
      <alignment horizontal="right" vertical="center"/>
      <protection locked="0"/>
    </xf>
    <xf numFmtId="49" fontId="43" fillId="16" borderId="1284" xfId="12" applyNumberFormat="1" applyFont="1" applyFill="1" applyBorder="1" applyAlignment="1" applyProtection="1">
      <alignment horizontal="center" vertical="center" wrapText="1"/>
      <protection locked="0"/>
    </xf>
    <xf numFmtId="0" fontId="89" fillId="0" borderId="1208" xfId="11" applyFont="1" applyBorder="1" applyAlignment="1">
      <alignment vertical="center"/>
    </xf>
    <xf numFmtId="3" fontId="40" fillId="0" borderId="1155" xfId="12" applyNumberFormat="1" applyFont="1" applyFill="1" applyBorder="1" applyAlignment="1" applyProtection="1">
      <alignment horizontal="right" vertical="center"/>
      <protection locked="0"/>
    </xf>
    <xf numFmtId="49" fontId="43" fillId="16" borderId="125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55" xfId="11" applyNumberFormat="1" applyFont="1" applyBorder="1" applyAlignment="1">
      <alignment vertical="center" wrapText="1"/>
    </xf>
    <xf numFmtId="49" fontId="43" fillId="0" borderId="119" xfId="11" applyNumberFormat="1" applyFont="1" applyBorder="1" applyAlignment="1">
      <alignment vertical="center" wrapText="1"/>
    </xf>
    <xf numFmtId="49" fontId="43" fillId="0" borderId="1167" xfId="11" applyNumberFormat="1" applyFont="1" applyBorder="1" applyAlignment="1">
      <alignment vertical="center" wrapText="1"/>
    </xf>
    <xf numFmtId="49" fontId="43" fillId="16" borderId="1281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85" xfId="11" applyNumberFormat="1" applyFont="1" applyBorder="1" applyAlignment="1">
      <alignment vertical="center" wrapText="1"/>
    </xf>
    <xf numFmtId="49" fontId="43" fillId="0" borderId="1272" xfId="11" applyNumberFormat="1" applyFont="1" applyBorder="1" applyAlignment="1">
      <alignment vertical="center" wrapText="1"/>
    </xf>
    <xf numFmtId="10" fontId="41" fillId="0" borderId="1165" xfId="12" applyNumberFormat="1" applyFont="1" applyFill="1" applyBorder="1" applyAlignment="1" applyProtection="1">
      <alignment horizontal="right" vertical="center"/>
      <protection locked="0"/>
    </xf>
    <xf numFmtId="49" fontId="43" fillId="0" borderId="183" xfId="11" applyNumberFormat="1" applyFont="1" applyBorder="1" applyAlignment="1">
      <alignment vertical="center" wrapText="1"/>
    </xf>
    <xf numFmtId="49" fontId="43" fillId="0" borderId="125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196" xfId="12" applyNumberFormat="1" applyFont="1" applyFill="1" applyBorder="1" applyAlignment="1" applyProtection="1">
      <alignment vertical="center" wrapText="1"/>
      <protection locked="0"/>
    </xf>
    <xf numFmtId="49" fontId="43" fillId="16" borderId="1155" xfId="12" applyNumberFormat="1" applyFont="1" applyFill="1" applyBorder="1" applyAlignment="1" applyProtection="1">
      <alignment vertical="center" wrapText="1"/>
      <protection locked="0"/>
    </xf>
    <xf numFmtId="49" fontId="43" fillId="16" borderId="1272" xfId="12" applyNumberFormat="1" applyFont="1" applyFill="1" applyBorder="1" applyAlignment="1" applyProtection="1">
      <alignment vertical="center" wrapText="1"/>
      <protection locked="0"/>
    </xf>
    <xf numFmtId="49" fontId="43" fillId="16" borderId="128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87" xfId="12" applyNumberFormat="1" applyFont="1" applyFill="1" applyBorder="1" applyAlignment="1" applyProtection="1">
      <alignment horizontal="center" vertical="center" wrapText="1"/>
      <protection locked="0"/>
    </xf>
    <xf numFmtId="49" fontId="61" fillId="18" borderId="128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8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69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692" xfId="12" applyNumberFormat="1" applyFont="1" applyFill="1" applyBorder="1" applyAlignment="1" applyProtection="1">
      <alignment horizontal="center" vertical="center" wrapText="1"/>
      <protection locked="0"/>
    </xf>
    <xf numFmtId="49" fontId="40" fillId="0" borderId="69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49" xfId="12" applyNumberFormat="1" applyFont="1" applyFill="1" applyBorder="1" applyAlignment="1" applyProtection="1">
      <alignment vertical="center" wrapText="1"/>
      <protection locked="0"/>
    </xf>
    <xf numFmtId="49" fontId="43" fillId="19" borderId="1208" xfId="12" applyNumberFormat="1" applyFont="1" applyFill="1" applyBorder="1" applyAlignment="1" applyProtection="1">
      <alignment vertical="center" wrapText="1"/>
      <protection locked="0"/>
    </xf>
    <xf numFmtId="49" fontId="43" fillId="0" borderId="1261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120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5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58" xfId="12" applyNumberFormat="1" applyFont="1" applyFill="1" applyBorder="1" applyAlignment="1" applyProtection="1">
      <alignment horizontal="left" vertical="center" wrapText="1"/>
      <protection locked="0"/>
    </xf>
    <xf numFmtId="3" fontId="83" fillId="0" borderId="1118" xfId="12" applyNumberFormat="1" applyFont="1" applyFill="1" applyBorder="1" applyAlignment="1" applyProtection="1">
      <alignment horizontal="right" vertical="center"/>
      <protection locked="0"/>
    </xf>
    <xf numFmtId="49" fontId="43" fillId="16" borderId="1164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9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9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6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5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92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293" xfId="12" applyNumberFormat="1" applyFont="1" applyFill="1" applyBorder="1" applyAlignment="1" applyProtection="1">
      <alignment horizontal="right" vertical="center"/>
      <protection locked="0"/>
    </xf>
    <xf numFmtId="4" fontId="43" fillId="0" borderId="1293" xfId="12" applyNumberFormat="1" applyFont="1" applyFill="1" applyBorder="1" applyAlignment="1" applyProtection="1">
      <alignment horizontal="right" vertical="center"/>
      <protection locked="0"/>
    </xf>
    <xf numFmtId="3" fontId="41" fillId="0" borderId="1293" xfId="12" applyNumberFormat="1" applyFont="1" applyFill="1" applyBorder="1" applyAlignment="1" applyProtection="1">
      <alignment horizontal="right" vertical="center"/>
      <protection locked="0"/>
    </xf>
    <xf numFmtId="3" fontId="41" fillId="0" borderId="1263" xfId="12" applyNumberFormat="1" applyFont="1" applyFill="1" applyBorder="1" applyAlignment="1" applyProtection="1">
      <alignment horizontal="right" vertical="center"/>
      <protection locked="0"/>
    </xf>
    <xf numFmtId="4" fontId="41" fillId="0" borderId="1293" xfId="12" applyNumberFormat="1" applyFont="1" applyFill="1" applyBorder="1" applyAlignment="1" applyProtection="1">
      <alignment horizontal="right" vertical="center"/>
      <protection locked="0"/>
    </xf>
    <xf numFmtId="10" fontId="41" fillId="0" borderId="1294" xfId="12" applyNumberFormat="1" applyFont="1" applyFill="1" applyBorder="1" applyAlignment="1" applyProtection="1">
      <alignment horizontal="right" vertical="center"/>
      <protection locked="0"/>
    </xf>
    <xf numFmtId="49" fontId="43" fillId="16" borderId="3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295" xfId="12" applyNumberFormat="1" applyFont="1" applyFill="1" applyBorder="1" applyAlignment="1" applyProtection="1">
      <alignment horizontal="right" vertical="center"/>
      <protection locked="0"/>
    </xf>
    <xf numFmtId="49" fontId="43" fillId="16" borderId="129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97" xfId="12" applyNumberFormat="1" applyFont="1" applyFill="1" applyBorder="1" applyAlignment="1" applyProtection="1">
      <alignment horizontal="left" vertical="center" wrapText="1"/>
      <protection locked="0"/>
    </xf>
    <xf numFmtId="10" fontId="43" fillId="0" borderId="1293" xfId="12" applyNumberFormat="1" applyFont="1" applyFill="1" applyBorder="1" applyAlignment="1" applyProtection="1">
      <alignment horizontal="right" vertical="center"/>
      <protection locked="0"/>
    </xf>
    <xf numFmtId="49" fontId="40" fillId="17" borderId="1195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185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186" xfId="12" applyNumberFormat="1" applyFont="1" applyFill="1" applyBorder="1" applyAlignment="1" applyProtection="1">
      <alignment horizontal="left" vertical="center" wrapText="1"/>
      <protection locked="0"/>
    </xf>
    <xf numFmtId="49" fontId="40" fillId="19" borderId="1210" xfId="12" applyNumberFormat="1" applyFont="1" applyFill="1" applyBorder="1" applyAlignment="1" applyProtection="1">
      <alignment horizontal="center" vertical="center" wrapText="1"/>
      <protection locked="0"/>
    </xf>
    <xf numFmtId="10" fontId="43" fillId="0" borderId="1195" xfId="12" applyNumberFormat="1" applyFont="1" applyFill="1" applyBorder="1" applyAlignment="1" applyProtection="1">
      <alignment horizontal="right" vertical="center"/>
      <protection locked="0"/>
    </xf>
    <xf numFmtId="3" fontId="40" fillId="4" borderId="1196" xfId="12" applyNumberFormat="1" applyFont="1" applyFill="1" applyBorder="1" applyAlignment="1" applyProtection="1">
      <alignment horizontal="right" vertical="center"/>
      <protection locked="0"/>
    </xf>
    <xf numFmtId="3" fontId="40" fillId="4" borderId="1298" xfId="12" applyNumberFormat="1" applyFont="1" applyFill="1" applyBorder="1" applyAlignment="1" applyProtection="1">
      <alignment horizontal="right" vertical="center"/>
      <protection locked="0"/>
    </xf>
    <xf numFmtId="4" fontId="40" fillId="4" borderId="1196" xfId="12" applyNumberFormat="1" applyFont="1" applyFill="1" applyBorder="1" applyAlignment="1" applyProtection="1">
      <alignment horizontal="right" vertical="center"/>
      <protection locked="0"/>
    </xf>
    <xf numFmtId="3" fontId="43" fillId="4" borderId="1155" xfId="12" applyNumberFormat="1" applyFont="1" applyFill="1" applyBorder="1" applyAlignment="1" applyProtection="1">
      <alignment horizontal="right" vertical="center"/>
      <protection locked="0"/>
    </xf>
    <xf numFmtId="49" fontId="43" fillId="16" borderId="129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300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301" xfId="12" applyNumberFormat="1" applyFont="1" applyFill="1" applyBorder="1" applyAlignment="1" applyProtection="1">
      <alignment horizontal="right" vertical="center"/>
      <protection locked="0"/>
    </xf>
    <xf numFmtId="10" fontId="43" fillId="0" borderId="1302" xfId="12" applyNumberFormat="1" applyFont="1" applyFill="1" applyBorder="1" applyAlignment="1" applyProtection="1">
      <alignment horizontal="right" vertical="center"/>
      <protection locked="0"/>
    </xf>
    <xf numFmtId="49" fontId="43" fillId="16" borderId="1303" xfId="12" applyNumberFormat="1" applyFont="1" applyFill="1" applyBorder="1" applyAlignment="1" applyProtection="1">
      <alignment horizontal="left" vertical="center" wrapText="1"/>
      <protection locked="0"/>
    </xf>
    <xf numFmtId="10" fontId="41" fillId="0" borderId="1302" xfId="12" applyNumberFormat="1" applyFont="1" applyFill="1" applyBorder="1" applyAlignment="1" applyProtection="1">
      <alignment horizontal="right" vertical="center"/>
      <protection locked="0"/>
    </xf>
    <xf numFmtId="49" fontId="43" fillId="16" borderId="1305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164" xfId="11" applyNumberFormat="1" applyFont="1" applyBorder="1" applyAlignment="1">
      <alignment vertical="center" wrapText="1"/>
    </xf>
    <xf numFmtId="49" fontId="43" fillId="16" borderId="1306" xfId="12" applyNumberFormat="1" applyFont="1" applyFill="1" applyBorder="1" applyAlignment="1" applyProtection="1">
      <alignment horizontal="center" vertical="center" wrapText="1"/>
      <protection locked="0"/>
    </xf>
    <xf numFmtId="10" fontId="40" fillId="0" borderId="1302" xfId="12" applyNumberFormat="1" applyFont="1" applyFill="1" applyBorder="1" applyAlignment="1" applyProtection="1">
      <alignment horizontal="right" vertical="center"/>
      <protection locked="0"/>
    </xf>
    <xf numFmtId="0" fontId="43" fillId="0" borderId="1304" xfId="12" applyNumberFormat="1" applyFont="1" applyFill="1" applyBorder="1" applyAlignment="1" applyProtection="1">
      <alignment horizontal="center" vertical="center"/>
      <protection locked="0"/>
    </xf>
    <xf numFmtId="0" fontId="43" fillId="0" borderId="1275" xfId="12" applyNumberFormat="1" applyFont="1" applyFill="1" applyBorder="1" applyAlignment="1" applyProtection="1">
      <alignment horizontal="left" vertical="center"/>
      <protection locked="0"/>
    </xf>
    <xf numFmtId="49" fontId="43" fillId="16" borderId="1307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308" xfId="12" applyNumberFormat="1" applyFont="1" applyFill="1" applyBorder="1" applyAlignment="1" applyProtection="1">
      <alignment horizontal="right" vertical="center"/>
      <protection locked="0"/>
    </xf>
    <xf numFmtId="49" fontId="43" fillId="16" borderId="1272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311" xfId="12" applyNumberFormat="1" applyFont="1" applyFill="1" applyBorder="1" applyAlignment="1" applyProtection="1">
      <alignment horizontal="right" vertical="center"/>
      <protection locked="0"/>
    </xf>
    <xf numFmtId="3" fontId="43" fillId="0" borderId="1312" xfId="12" applyNumberFormat="1" applyFont="1" applyFill="1" applyBorder="1" applyAlignment="1" applyProtection="1">
      <alignment horizontal="right" vertical="center"/>
      <protection locked="0"/>
    </xf>
    <xf numFmtId="4" fontId="43" fillId="0" borderId="1311" xfId="12" applyNumberFormat="1" applyFont="1" applyFill="1" applyBorder="1" applyAlignment="1" applyProtection="1">
      <alignment horizontal="right" vertical="center"/>
      <protection locked="0"/>
    </xf>
    <xf numFmtId="10" fontId="43" fillId="0" borderId="1313" xfId="12" applyNumberFormat="1" applyFont="1" applyFill="1" applyBorder="1" applyAlignment="1" applyProtection="1">
      <alignment horizontal="right" vertical="center"/>
      <protection locked="0"/>
    </xf>
    <xf numFmtId="49" fontId="40" fillId="17" borderId="11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3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82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83" xfId="12" applyNumberFormat="1" applyFont="1" applyFill="1" applyBorder="1" applyAlignment="1" applyProtection="1">
      <alignment horizontal="left" vertical="center" wrapText="1"/>
      <protection locked="0"/>
    </xf>
    <xf numFmtId="3" fontId="40" fillId="13" borderId="13" xfId="12" applyNumberFormat="1" applyFont="1" applyFill="1" applyBorder="1" applyAlignment="1" applyProtection="1">
      <alignment horizontal="right" vertical="center"/>
      <protection locked="0"/>
    </xf>
    <xf numFmtId="4" fontId="40" fillId="13" borderId="13" xfId="12" applyNumberFormat="1" applyFont="1" applyFill="1" applyBorder="1" applyAlignment="1" applyProtection="1">
      <alignment horizontal="right" vertical="center"/>
      <protection locked="0"/>
    </xf>
    <xf numFmtId="3" fontId="40" fillId="6" borderId="1195" xfId="12" applyNumberFormat="1" applyFont="1" applyFill="1" applyBorder="1" applyAlignment="1" applyProtection="1">
      <alignment horizontal="right" vertical="center"/>
      <protection locked="0"/>
    </xf>
    <xf numFmtId="4" fontId="40" fillId="6" borderId="1195" xfId="12" applyNumberFormat="1" applyFont="1" applyFill="1" applyBorder="1" applyAlignment="1" applyProtection="1">
      <alignment horizontal="right" vertical="center"/>
      <protection locked="0"/>
    </xf>
    <xf numFmtId="49" fontId="61" fillId="0" borderId="1208" xfId="12" applyNumberFormat="1" applyFont="1" applyFill="1" applyBorder="1" applyAlignment="1" applyProtection="1">
      <alignment horizontal="center" vertical="center" wrapText="1"/>
      <protection locked="0"/>
    </xf>
    <xf numFmtId="3" fontId="40" fillId="0" borderId="1314" xfId="12" applyNumberFormat="1" applyFont="1" applyFill="1" applyBorder="1" applyAlignment="1" applyProtection="1">
      <alignment horizontal="right" vertical="center"/>
      <protection locked="0"/>
    </xf>
    <xf numFmtId="10" fontId="40" fillId="0" borderId="1245" xfId="12" applyNumberFormat="1" applyFont="1" applyFill="1" applyBorder="1" applyAlignment="1" applyProtection="1">
      <alignment horizontal="right" vertical="center"/>
      <protection locked="0"/>
    </xf>
    <xf numFmtId="49" fontId="40" fillId="19" borderId="1208" xfId="12" applyNumberFormat="1" applyFont="1" applyFill="1" applyBorder="1" applyAlignment="1" applyProtection="1">
      <alignment vertical="center" wrapText="1"/>
      <protection locked="0"/>
    </xf>
    <xf numFmtId="49" fontId="61" fillId="0" borderId="1208" xfId="12" applyNumberFormat="1" applyFont="1" applyFill="1" applyBorder="1" applyAlignment="1" applyProtection="1">
      <alignment vertical="center" wrapText="1"/>
      <protection locked="0"/>
    </xf>
    <xf numFmtId="3" fontId="43" fillId="0" borderId="1316" xfId="12" applyNumberFormat="1" applyFont="1" applyFill="1" applyBorder="1" applyAlignment="1" applyProtection="1">
      <alignment horizontal="right" vertical="center"/>
      <protection locked="0"/>
    </xf>
    <xf numFmtId="49" fontId="61" fillId="0" borderId="1210" xfId="12" applyNumberFormat="1" applyFont="1" applyFill="1" applyBorder="1" applyAlignment="1" applyProtection="1">
      <alignment vertical="center" wrapText="1"/>
      <protection locked="0"/>
    </xf>
    <xf numFmtId="49" fontId="43" fillId="0" borderId="1317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318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314" xfId="12" applyNumberFormat="1" applyFont="1" applyFill="1" applyBorder="1" applyAlignment="1" applyProtection="1">
      <alignment horizontal="right" vertical="center"/>
      <protection locked="0"/>
    </xf>
    <xf numFmtId="49" fontId="61" fillId="0" borderId="1210" xfId="12" applyNumberFormat="1" applyFont="1" applyFill="1" applyBorder="1" applyAlignment="1" applyProtection="1">
      <alignment horizontal="center" vertical="center" wrapText="1"/>
      <protection locked="0"/>
    </xf>
    <xf numFmtId="49" fontId="61" fillId="0" borderId="99" xfId="12" applyNumberFormat="1" applyFont="1" applyFill="1" applyBorder="1" applyAlignment="1" applyProtection="1">
      <alignment horizontal="left" vertical="center" wrapText="1"/>
      <protection locked="0"/>
    </xf>
    <xf numFmtId="3" fontId="40" fillId="4" borderId="1314" xfId="12" applyNumberFormat="1" applyFont="1" applyFill="1" applyBorder="1" applyAlignment="1" applyProtection="1">
      <alignment horizontal="right" vertical="center"/>
      <protection locked="0"/>
    </xf>
    <xf numFmtId="10" fontId="40" fillId="0" borderId="15" xfId="12" applyNumberFormat="1" applyFont="1" applyFill="1" applyBorder="1" applyAlignment="1" applyProtection="1">
      <alignment horizontal="right" vertical="center"/>
      <protection locked="0"/>
    </xf>
    <xf numFmtId="3" fontId="43" fillId="4" borderId="0" xfId="12" applyNumberFormat="1" applyFont="1" applyFill="1" applyBorder="1" applyAlignment="1" applyProtection="1">
      <alignment horizontal="right" vertical="center"/>
      <protection locked="0"/>
    </xf>
    <xf numFmtId="3" fontId="43" fillId="4" borderId="1208" xfId="12" applyNumberFormat="1" applyFont="1" applyFill="1" applyBorder="1" applyAlignment="1" applyProtection="1">
      <alignment horizontal="right" vertical="center"/>
      <protection locked="0"/>
    </xf>
    <xf numFmtId="4" fontId="43" fillId="4" borderId="1208" xfId="12" applyNumberFormat="1" applyFont="1" applyFill="1" applyBorder="1" applyAlignment="1" applyProtection="1">
      <alignment horizontal="right" vertical="center"/>
      <protection locked="0"/>
    </xf>
    <xf numFmtId="49" fontId="40" fillId="19" borderId="13" xfId="12" applyNumberFormat="1" applyFont="1" applyFill="1" applyBorder="1" applyAlignment="1" applyProtection="1">
      <alignment horizontal="center" vertical="center" wrapText="1"/>
      <protection locked="0"/>
    </xf>
    <xf numFmtId="3" fontId="43" fillId="4" borderId="1209" xfId="12" applyNumberFormat="1" applyFont="1" applyFill="1" applyBorder="1" applyAlignment="1" applyProtection="1">
      <alignment horizontal="right" vertical="center"/>
      <protection locked="0"/>
    </xf>
    <xf numFmtId="10" fontId="43" fillId="0" borderId="13" xfId="12" applyNumberFormat="1" applyFont="1" applyFill="1" applyBorder="1" applyAlignment="1" applyProtection="1">
      <alignment horizontal="right" vertical="center"/>
      <protection locked="0"/>
    </xf>
    <xf numFmtId="3" fontId="40" fillId="4" borderId="1248" xfId="12" applyNumberFormat="1" applyFont="1" applyFill="1" applyBorder="1" applyAlignment="1" applyProtection="1">
      <alignment horizontal="right" vertical="center"/>
      <protection locked="0"/>
    </xf>
    <xf numFmtId="4" fontId="40" fillId="4" borderId="1248" xfId="12" applyNumberFormat="1" applyFont="1" applyFill="1" applyBorder="1" applyAlignment="1" applyProtection="1">
      <alignment horizontal="right" vertical="center"/>
      <protection locked="0"/>
    </xf>
    <xf numFmtId="3" fontId="43" fillId="4" borderId="1210" xfId="12" applyNumberFormat="1" applyFont="1" applyFill="1" applyBorder="1" applyAlignment="1" applyProtection="1">
      <alignment horizontal="right" vertical="center"/>
      <protection locked="0"/>
    </xf>
    <xf numFmtId="49" fontId="40" fillId="19" borderId="120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320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1210" xfId="12" applyNumberFormat="1" applyFont="1" applyFill="1" applyBorder="1" applyAlignment="1" applyProtection="1">
      <alignment vertical="center" wrapText="1"/>
      <protection locked="0"/>
    </xf>
    <xf numFmtId="49" fontId="61" fillId="18" borderId="132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96" xfId="12" applyNumberFormat="1" applyFont="1" applyFill="1" applyBorder="1" applyAlignment="1" applyProtection="1">
      <alignment vertical="center" wrapText="1"/>
      <protection locked="0"/>
    </xf>
    <xf numFmtId="3" fontId="40" fillId="0" borderId="1322" xfId="12" applyNumberFormat="1" applyFont="1" applyFill="1" applyBorder="1" applyAlignment="1" applyProtection="1">
      <alignment horizontal="right" vertical="center"/>
      <protection locked="0"/>
    </xf>
    <xf numFmtId="3" fontId="40" fillId="0" borderId="1323" xfId="12" applyNumberFormat="1" applyFont="1" applyFill="1" applyBorder="1" applyAlignment="1" applyProtection="1">
      <alignment horizontal="right" vertical="center"/>
      <protection locked="0"/>
    </xf>
    <xf numFmtId="10" fontId="40" fillId="0" borderId="1324" xfId="12" applyNumberFormat="1" applyFont="1" applyFill="1" applyBorder="1" applyAlignment="1" applyProtection="1">
      <alignment horizontal="right" vertical="center"/>
      <protection locked="0"/>
    </xf>
    <xf numFmtId="3" fontId="43" fillId="0" borderId="1325" xfId="12" applyNumberFormat="1" applyFont="1" applyFill="1" applyBorder="1" applyAlignment="1" applyProtection="1">
      <alignment horizontal="right" vertical="center"/>
      <protection locked="0"/>
    </xf>
    <xf numFmtId="3" fontId="43" fillId="0" borderId="1327" xfId="12" applyNumberFormat="1" applyFont="1" applyFill="1" applyBorder="1" applyAlignment="1" applyProtection="1">
      <alignment horizontal="right" vertical="center"/>
      <protection locked="0"/>
    </xf>
    <xf numFmtId="3" fontId="41" fillId="0" borderId="1328" xfId="12" applyNumberFormat="1" applyFont="1" applyFill="1" applyBorder="1" applyAlignment="1" applyProtection="1">
      <alignment horizontal="right" vertical="center"/>
      <protection locked="0"/>
    </xf>
    <xf numFmtId="3" fontId="41" fillId="0" borderId="1329" xfId="12" applyNumberFormat="1" applyFont="1" applyFill="1" applyBorder="1" applyAlignment="1" applyProtection="1">
      <alignment horizontal="right" vertical="center"/>
      <protection locked="0"/>
    </xf>
    <xf numFmtId="4" fontId="41" fillId="0" borderId="1327" xfId="12" applyNumberFormat="1" applyFont="1" applyFill="1" applyBorder="1" applyAlignment="1" applyProtection="1">
      <alignment horizontal="right" vertical="center"/>
      <protection locked="0"/>
    </xf>
    <xf numFmtId="4" fontId="43" fillId="0" borderId="1327" xfId="12" applyNumberFormat="1" applyFont="1" applyFill="1" applyBorder="1" applyAlignment="1" applyProtection="1">
      <alignment horizontal="right" vertical="center"/>
      <protection locked="0"/>
    </xf>
    <xf numFmtId="3" fontId="43" fillId="0" borderId="1331" xfId="12" applyNumberFormat="1" applyFont="1" applyFill="1" applyBorder="1" applyAlignment="1" applyProtection="1">
      <alignment horizontal="right" vertical="center"/>
      <protection locked="0"/>
    </xf>
    <xf numFmtId="49" fontId="43" fillId="16" borderId="1332" xfId="12" applyNumberFormat="1" applyFont="1" applyFill="1" applyBorder="1" applyAlignment="1" applyProtection="1">
      <alignment horizontal="center" vertical="center" wrapText="1"/>
      <protection locked="0"/>
    </xf>
    <xf numFmtId="3" fontId="43" fillId="0" borderId="1329" xfId="12" applyNumberFormat="1" applyFont="1" applyFill="1" applyBorder="1" applyAlignment="1" applyProtection="1">
      <alignment horizontal="right" vertical="center"/>
      <protection locked="0"/>
    </xf>
    <xf numFmtId="3" fontId="40" fillId="4" borderId="1295" xfId="12" applyNumberFormat="1" applyFont="1" applyFill="1" applyBorder="1" applyAlignment="1" applyProtection="1">
      <alignment horizontal="right" vertical="center"/>
      <protection locked="0"/>
    </xf>
    <xf numFmtId="4" fontId="40" fillId="4" borderId="1295" xfId="12" applyNumberFormat="1" applyFont="1" applyFill="1" applyBorder="1" applyAlignment="1" applyProtection="1">
      <alignment horizontal="right" vertical="center"/>
      <protection locked="0"/>
    </xf>
    <xf numFmtId="3" fontId="43" fillId="4" borderId="1295" xfId="12" applyNumberFormat="1" applyFont="1" applyFill="1" applyBorder="1" applyAlignment="1" applyProtection="1">
      <alignment horizontal="right" vertical="center"/>
      <protection locked="0"/>
    </xf>
    <xf numFmtId="4" fontId="43" fillId="4" borderId="1295" xfId="12" applyNumberFormat="1" applyFont="1" applyFill="1" applyBorder="1" applyAlignment="1" applyProtection="1">
      <alignment horizontal="right" vertical="center"/>
      <protection locked="0"/>
    </xf>
    <xf numFmtId="3" fontId="43" fillId="4" borderId="1336" xfId="12" applyNumberFormat="1" applyFont="1" applyFill="1" applyBorder="1" applyAlignment="1" applyProtection="1">
      <alignment horizontal="right" vertical="center"/>
      <protection locked="0"/>
    </xf>
    <xf numFmtId="49" fontId="43" fillId="0" borderId="1337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335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11" xfId="12" applyNumberFormat="1" applyFont="1" applyFill="1" applyBorder="1" applyAlignment="1" applyProtection="1">
      <alignment horizontal="center" vertical="center" wrapText="1"/>
      <protection locked="0"/>
    </xf>
    <xf numFmtId="49" fontId="61" fillId="0" borderId="1" xfId="12" applyNumberFormat="1" applyFont="1" applyFill="1" applyBorder="1" applyAlignment="1" applyProtection="1">
      <alignment horizontal="center" vertical="center" wrapText="1"/>
      <protection locked="0"/>
    </xf>
    <xf numFmtId="49" fontId="61" fillId="0" borderId="1" xfId="12" applyNumberFormat="1" applyFont="1" applyFill="1" applyBorder="1" applyAlignment="1" applyProtection="1">
      <alignment horizontal="left" vertical="center" wrapText="1"/>
      <protection locked="0"/>
    </xf>
    <xf numFmtId="3" fontId="40" fillId="0" borderId="13" xfId="12" applyNumberFormat="1" applyFont="1" applyFill="1" applyBorder="1" applyAlignment="1" applyProtection="1">
      <alignment horizontal="right" vertical="center"/>
      <protection locked="0"/>
    </xf>
    <xf numFmtId="3" fontId="40" fillId="0" borderId="11" xfId="12" applyNumberFormat="1" applyFont="1" applyFill="1" applyBorder="1" applyAlignment="1" applyProtection="1">
      <alignment horizontal="right" vertical="center"/>
      <protection locked="0"/>
    </xf>
    <xf numFmtId="4" fontId="40" fillId="0" borderId="13" xfId="12" applyNumberFormat="1" applyFont="1" applyFill="1" applyBorder="1" applyAlignment="1" applyProtection="1">
      <alignment horizontal="right" vertical="center"/>
      <protection locked="0"/>
    </xf>
    <xf numFmtId="3" fontId="40" fillId="0" borderId="1208" xfId="12" applyNumberFormat="1" applyFont="1" applyFill="1" applyBorder="1" applyAlignment="1" applyProtection="1">
      <alignment horizontal="right" vertical="center"/>
      <protection locked="0"/>
    </xf>
    <xf numFmtId="3" fontId="40" fillId="0" borderId="1210" xfId="12" applyNumberFormat="1" applyFont="1" applyFill="1" applyBorder="1" applyAlignment="1" applyProtection="1">
      <alignment horizontal="right" vertical="center"/>
      <protection locked="0"/>
    </xf>
    <xf numFmtId="49" fontId="43" fillId="16" borderId="134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341" xfId="12" applyNumberFormat="1" applyFont="1" applyFill="1" applyBorder="1" applyAlignment="1" applyProtection="1">
      <alignment horizontal="left" vertical="center" wrapText="1"/>
      <protection locked="0"/>
    </xf>
    <xf numFmtId="3" fontId="43" fillId="0" borderId="1342" xfId="12" applyNumberFormat="1" applyFont="1" applyFill="1" applyBorder="1" applyAlignment="1" applyProtection="1">
      <alignment horizontal="right" vertical="center"/>
      <protection locked="0"/>
    </xf>
    <xf numFmtId="49" fontId="40" fillId="15" borderId="1346" xfId="12" applyNumberFormat="1" applyFont="1" applyFill="1" applyBorder="1" applyAlignment="1" applyProtection="1">
      <alignment vertical="top" wrapText="1"/>
      <protection locked="0"/>
    </xf>
    <xf numFmtId="49" fontId="40" fillId="17" borderId="1346" xfId="12" applyNumberFormat="1" applyFont="1" applyFill="1" applyBorder="1" applyAlignment="1" applyProtection="1">
      <alignment vertical="top" wrapText="1"/>
      <protection locked="0"/>
    </xf>
    <xf numFmtId="3" fontId="43" fillId="13" borderId="1345" xfId="12" applyNumberFormat="1" applyFont="1" applyFill="1" applyBorder="1" applyAlignment="1" applyProtection="1">
      <alignment horizontal="right" vertical="center"/>
      <protection locked="0"/>
    </xf>
    <xf numFmtId="4" fontId="43" fillId="13" borderId="1231" xfId="12" applyNumberFormat="1" applyFont="1" applyFill="1" applyBorder="1" applyAlignment="1" applyProtection="1">
      <alignment horizontal="right" vertical="center"/>
      <protection locked="0"/>
    </xf>
    <xf numFmtId="10" fontId="43" fillId="13" borderId="1229" xfId="12" applyNumberFormat="1" applyFont="1" applyFill="1" applyBorder="1" applyAlignment="1" applyProtection="1">
      <alignment horizontal="right" vertical="center"/>
      <protection locked="0"/>
    </xf>
    <xf numFmtId="3" fontId="61" fillId="18" borderId="1346" xfId="12" applyNumberFormat="1" applyFont="1" applyFill="1" applyBorder="1" applyAlignment="1" applyProtection="1">
      <alignment horizontal="right" vertical="center" wrapText="1"/>
      <protection locked="0"/>
    </xf>
    <xf numFmtId="4" fontId="61" fillId="18" borderId="1346" xfId="12" applyNumberFormat="1" applyFont="1" applyFill="1" applyBorder="1" applyAlignment="1" applyProtection="1">
      <alignment horizontal="right" vertical="center" wrapText="1"/>
      <protection locked="0"/>
    </xf>
    <xf numFmtId="3" fontId="43" fillId="16" borderId="38" xfId="12" applyNumberFormat="1" applyFont="1" applyFill="1" applyBorder="1" applyAlignment="1" applyProtection="1">
      <alignment horizontal="right" vertical="center" wrapText="1"/>
      <protection locked="0"/>
    </xf>
    <xf numFmtId="4" fontId="43" fillId="16" borderId="38" xfId="12" applyNumberFormat="1" applyFont="1" applyFill="1" applyBorder="1" applyAlignment="1" applyProtection="1">
      <alignment horizontal="right" vertical="center" wrapText="1"/>
      <protection locked="0"/>
    </xf>
    <xf numFmtId="10" fontId="43" fillId="0" borderId="1348" xfId="12" applyNumberFormat="1" applyFont="1" applyFill="1" applyBorder="1" applyAlignment="1" applyProtection="1">
      <alignment horizontal="right" vertical="center"/>
      <protection locked="0"/>
    </xf>
    <xf numFmtId="3" fontId="43" fillId="16" borderId="1328" xfId="12" applyNumberFormat="1" applyFont="1" applyFill="1" applyBorder="1" applyAlignment="1" applyProtection="1">
      <alignment horizontal="right" vertical="center" wrapText="1"/>
      <protection locked="0"/>
    </xf>
    <xf numFmtId="4" fontId="43" fillId="16" borderId="1328" xfId="12" applyNumberFormat="1" applyFont="1" applyFill="1" applyBorder="1" applyAlignment="1" applyProtection="1">
      <alignment horizontal="right" vertical="center" wrapText="1"/>
      <protection locked="0"/>
    </xf>
    <xf numFmtId="3" fontId="43" fillId="16" borderId="1352" xfId="12" applyNumberFormat="1" applyFont="1" applyFill="1" applyBorder="1" applyAlignment="1" applyProtection="1">
      <alignment horizontal="right" vertical="center" wrapText="1"/>
      <protection locked="0"/>
    </xf>
    <xf numFmtId="4" fontId="43" fillId="16" borderId="1352" xfId="12" applyNumberFormat="1" applyFont="1" applyFill="1" applyBorder="1" applyAlignment="1" applyProtection="1">
      <alignment horizontal="right" vertical="center" wrapText="1"/>
      <protection locked="0"/>
    </xf>
    <xf numFmtId="3" fontId="43" fillId="16" borderId="1357" xfId="12" applyNumberFormat="1" applyFont="1" applyFill="1" applyBorder="1" applyAlignment="1" applyProtection="1">
      <alignment horizontal="right" vertical="center" wrapText="1"/>
      <protection locked="0"/>
    </xf>
    <xf numFmtId="4" fontId="43" fillId="16" borderId="1357" xfId="12" applyNumberFormat="1" applyFont="1" applyFill="1" applyBorder="1" applyAlignment="1" applyProtection="1">
      <alignment horizontal="right" vertical="center" wrapText="1"/>
      <protection locked="0"/>
    </xf>
    <xf numFmtId="3" fontId="43" fillId="16" borderId="1360" xfId="12" applyNumberFormat="1" applyFont="1" applyFill="1" applyBorder="1" applyAlignment="1" applyProtection="1">
      <alignment horizontal="right" vertical="center" wrapText="1"/>
      <protection locked="0"/>
    </xf>
    <xf numFmtId="4" fontId="43" fillId="16" borderId="1360" xfId="12" applyNumberFormat="1" applyFont="1" applyFill="1" applyBorder="1" applyAlignment="1" applyProtection="1">
      <alignment horizontal="right" vertical="center" wrapText="1"/>
      <protection locked="0"/>
    </xf>
    <xf numFmtId="49" fontId="88" fillId="16" borderId="0" xfId="12" applyNumberFormat="1" applyFont="1" applyFill="1" applyBorder="1" applyAlignment="1" applyProtection="1">
      <alignment vertical="top" wrapText="1"/>
      <protection locked="0"/>
    </xf>
    <xf numFmtId="3" fontId="88" fillId="16" borderId="0" xfId="12" applyNumberFormat="1" applyFont="1" applyFill="1" applyBorder="1" applyAlignment="1" applyProtection="1">
      <alignment vertical="top" wrapText="1"/>
      <protection locked="0"/>
    </xf>
    <xf numFmtId="4" fontId="88" fillId="16" borderId="0" xfId="12" applyNumberFormat="1" applyFont="1" applyFill="1" applyBorder="1" applyAlignment="1" applyProtection="1">
      <alignment vertical="top" wrapText="1"/>
      <protection locked="0"/>
    </xf>
    <xf numFmtId="10" fontId="43" fillId="0" borderId="0" xfId="12" applyNumberFormat="1" applyFont="1" applyFill="1" applyBorder="1" applyAlignment="1" applyProtection="1">
      <alignment horizontal="right" vertical="center"/>
      <protection locked="0"/>
    </xf>
    <xf numFmtId="4" fontId="43" fillId="0" borderId="0" xfId="12" applyNumberFormat="1" applyFont="1" applyFill="1" applyBorder="1" applyAlignment="1" applyProtection="1">
      <alignment horizontal="right" vertical="center"/>
      <protection locked="0"/>
    </xf>
    <xf numFmtId="3" fontId="83" fillId="0" borderId="0" xfId="12" applyNumberFormat="1" applyFont="1" applyFill="1" applyBorder="1" applyAlignment="1" applyProtection="1">
      <alignment horizontal="right" vertical="center"/>
      <protection locked="0"/>
    </xf>
    <xf numFmtId="4" fontId="43" fillId="0" borderId="0" xfId="12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Border="1" applyAlignment="1">
      <alignment vertical="center"/>
    </xf>
    <xf numFmtId="0" fontId="14" fillId="2" borderId="1298" xfId="1" applyFont="1" applyFill="1" applyBorder="1" applyAlignment="1">
      <alignment horizontal="center" vertical="center" wrapText="1"/>
    </xf>
    <xf numFmtId="0" fontId="14" fillId="2" borderId="1196" xfId="1" applyFont="1" applyFill="1" applyBorder="1" applyAlignment="1">
      <alignment horizontal="center" vertical="center" wrapText="1"/>
    </xf>
    <xf numFmtId="49" fontId="5" fillId="6" borderId="1353" xfId="1" applyNumberFormat="1" applyFont="1" applyFill="1" applyBorder="1" applyAlignment="1">
      <alignment horizontal="center" vertical="center"/>
    </xf>
    <xf numFmtId="0" fontId="3" fillId="6" borderId="888" xfId="1" applyFont="1" applyFill="1" applyBorder="1" applyAlignment="1">
      <alignment horizontal="center"/>
    </xf>
    <xf numFmtId="0" fontId="5" fillId="6" borderId="1230" xfId="1" applyFont="1" applyFill="1" applyBorder="1" applyAlignment="1">
      <alignment vertical="center" wrapText="1"/>
    </xf>
    <xf numFmtId="3" fontId="5" fillId="6" borderId="1230" xfId="1" applyNumberFormat="1" applyFont="1" applyFill="1" applyBorder="1" applyAlignment="1">
      <alignment horizontal="right" vertical="center" wrapText="1"/>
    </xf>
    <xf numFmtId="4" fontId="5" fillId="6" borderId="888" xfId="1" applyNumberFormat="1" applyFont="1" applyFill="1" applyBorder="1" applyAlignment="1">
      <alignment horizontal="right" vertical="center" wrapText="1"/>
    </xf>
    <xf numFmtId="4" fontId="5" fillId="6" borderId="1230" xfId="1" applyNumberFormat="1" applyFont="1" applyFill="1" applyBorder="1" applyAlignment="1">
      <alignment horizontal="right" vertical="center" wrapText="1"/>
    </xf>
    <xf numFmtId="0" fontId="7" fillId="6" borderId="1229" xfId="1" applyFont="1" applyFill="1" applyBorder="1" applyAlignment="1">
      <alignment horizontal="left" vertical="center"/>
    </xf>
    <xf numFmtId="49" fontId="14" fillId="7" borderId="888" xfId="1" applyNumberFormat="1" applyFont="1" applyFill="1" applyBorder="1" applyAlignment="1">
      <alignment horizontal="center" vertical="center"/>
    </xf>
    <xf numFmtId="0" fontId="15" fillId="7" borderId="1230" xfId="1" applyFont="1" applyFill="1" applyBorder="1" applyAlignment="1">
      <alignment vertical="center" wrapText="1"/>
    </xf>
    <xf numFmtId="3" fontId="15" fillId="7" borderId="1230" xfId="1" applyNumberFormat="1" applyFont="1" applyFill="1" applyBorder="1" applyAlignment="1">
      <alignment horizontal="right" vertical="center"/>
    </xf>
    <xf numFmtId="4" fontId="15" fillId="7" borderId="888" xfId="1" applyNumberFormat="1" applyFont="1" applyFill="1" applyBorder="1" applyAlignment="1">
      <alignment horizontal="right" vertical="center"/>
    </xf>
    <xf numFmtId="4" fontId="15" fillId="7" borderId="1230" xfId="1" applyNumberFormat="1" applyFont="1" applyFill="1" applyBorder="1" applyAlignment="1">
      <alignment horizontal="right" vertical="center"/>
    </xf>
    <xf numFmtId="0" fontId="26" fillId="7" borderId="1229" xfId="1" applyFont="1" applyFill="1" applyBorder="1" applyAlignment="1">
      <alignment horizontal="left" vertical="center"/>
    </xf>
    <xf numFmtId="49" fontId="12" fillId="4" borderId="831" xfId="1" applyNumberFormat="1" applyFont="1" applyFill="1" applyBorder="1" applyAlignment="1">
      <alignment horizontal="center" vertical="center"/>
    </xf>
    <xf numFmtId="4" fontId="12" fillId="4" borderId="831" xfId="1" applyNumberFormat="1" applyFont="1" applyFill="1" applyBorder="1" applyAlignment="1">
      <alignment vertical="center"/>
    </xf>
    <xf numFmtId="4" fontId="12" fillId="4" borderId="831" xfId="1" applyNumberFormat="1" applyFont="1" applyFill="1" applyBorder="1" applyAlignment="1">
      <alignment horizontal="right" vertical="center"/>
    </xf>
    <xf numFmtId="0" fontId="12" fillId="4" borderId="1324" xfId="1" applyFont="1" applyFill="1" applyBorder="1" applyAlignment="1">
      <alignment horizontal="left" vertical="center" wrapText="1"/>
    </xf>
    <xf numFmtId="49" fontId="12" fillId="4" borderId="1311" xfId="1" applyNumberFormat="1" applyFont="1" applyFill="1" applyBorder="1" applyAlignment="1">
      <alignment horizontal="center" vertical="center"/>
    </xf>
    <xf numFmtId="3" fontId="12" fillId="4" borderId="1363" xfId="1" applyNumberFormat="1" applyFont="1" applyFill="1" applyBorder="1" applyAlignment="1">
      <alignment horizontal="right" vertical="center" wrapText="1"/>
    </xf>
    <xf numFmtId="4" fontId="12" fillId="4" borderId="1363" xfId="1" applyNumberFormat="1" applyFont="1" applyFill="1" applyBorder="1" applyAlignment="1">
      <alignment horizontal="right" vertical="center"/>
    </xf>
    <xf numFmtId="4" fontId="12" fillId="4" borderId="1311" xfId="1" applyNumberFormat="1" applyFont="1" applyFill="1" applyBorder="1" applyAlignment="1">
      <alignment horizontal="right" vertical="center"/>
    </xf>
    <xf numFmtId="0" fontId="12" fillId="4" borderId="1348" xfId="1" applyFont="1" applyFill="1" applyBorder="1" applyAlignment="1">
      <alignment horizontal="left" vertical="center" wrapText="1"/>
    </xf>
    <xf numFmtId="0" fontId="12" fillId="4" borderId="1364" xfId="1" applyFont="1" applyFill="1" applyBorder="1" applyAlignment="1">
      <alignment horizontal="left" vertical="center" wrapText="1"/>
    </xf>
    <xf numFmtId="49" fontId="17" fillId="6" borderId="888" xfId="1" applyNumberFormat="1" applyFont="1" applyFill="1" applyBorder="1" applyAlignment="1">
      <alignment horizontal="center" vertical="center"/>
    </xf>
    <xf numFmtId="49" fontId="5" fillId="6" borderId="1230" xfId="1" applyNumberFormat="1" applyFont="1" applyFill="1" applyBorder="1" applyAlignment="1">
      <alignment horizontal="left" vertical="center" wrapText="1"/>
    </xf>
    <xf numFmtId="0" fontId="12" fillId="6" borderId="1229" xfId="1" applyFont="1" applyFill="1" applyBorder="1" applyAlignment="1">
      <alignment horizontal="left" vertical="center" wrapText="1"/>
    </xf>
    <xf numFmtId="49" fontId="7" fillId="0" borderId="1196" xfId="1" applyNumberFormat="1" applyFont="1" applyBorder="1" applyAlignment="1">
      <alignment vertical="center"/>
    </xf>
    <xf numFmtId="49" fontId="14" fillId="7" borderId="1230" xfId="1" applyNumberFormat="1" applyFont="1" applyFill="1" applyBorder="1" applyAlignment="1">
      <alignment horizontal="left" vertical="center" wrapText="1"/>
    </xf>
    <xf numFmtId="4" fontId="14" fillId="7" borderId="888" xfId="1" applyNumberFormat="1" applyFont="1" applyFill="1" applyBorder="1" applyAlignment="1">
      <alignment vertical="center"/>
    </xf>
    <xf numFmtId="4" fontId="14" fillId="7" borderId="1230" xfId="1" applyNumberFormat="1" applyFont="1" applyFill="1" applyBorder="1" applyAlignment="1">
      <alignment vertical="center"/>
    </xf>
    <xf numFmtId="0" fontId="5" fillId="7" borderId="1229" xfId="1" applyFont="1" applyFill="1" applyBorder="1" applyAlignment="1">
      <alignment horizontal="left" vertical="center" wrapText="1"/>
    </xf>
    <xf numFmtId="3" fontId="3" fillId="4" borderId="0" xfId="1" applyNumberFormat="1" applyFont="1" applyFill="1" applyBorder="1" applyAlignment="1">
      <alignment horizontal="right" vertical="center"/>
    </xf>
    <xf numFmtId="4" fontId="12" fillId="4" borderId="0" xfId="1" applyNumberFormat="1" applyFont="1" applyFill="1" applyBorder="1" applyAlignment="1">
      <alignment vertical="center"/>
    </xf>
    <xf numFmtId="49" fontId="5" fillId="7" borderId="888" xfId="1" applyNumberFormat="1" applyFont="1" applyFill="1" applyBorder="1" applyAlignment="1">
      <alignment horizontal="left" vertical="center" wrapText="1"/>
    </xf>
    <xf numFmtId="49" fontId="5" fillId="7" borderId="888" xfId="1" applyNumberFormat="1" applyFont="1" applyFill="1" applyBorder="1" applyAlignment="1">
      <alignment horizontal="center" vertical="center"/>
    </xf>
    <xf numFmtId="3" fontId="8" fillId="7" borderId="1353" xfId="1" applyNumberFormat="1" applyFont="1" applyFill="1" applyBorder="1" applyAlignment="1">
      <alignment horizontal="right" vertical="center"/>
    </xf>
    <xf numFmtId="4" fontId="8" fillId="7" borderId="1353" xfId="1" applyNumberFormat="1" applyFont="1" applyFill="1" applyBorder="1" applyAlignment="1">
      <alignment horizontal="right" vertical="center"/>
    </xf>
    <xf numFmtId="4" fontId="8" fillId="7" borderId="888" xfId="1" applyNumberFormat="1" applyFont="1" applyFill="1" applyBorder="1" applyAlignment="1">
      <alignment horizontal="right" vertical="center"/>
    </xf>
    <xf numFmtId="49" fontId="12" fillId="0" borderId="1196" xfId="1" applyNumberFormat="1" applyFont="1" applyBorder="1" applyAlignment="1">
      <alignment vertical="center"/>
    </xf>
    <xf numFmtId="49" fontId="12" fillId="0" borderId="1196" xfId="1" applyNumberFormat="1" applyFont="1" applyBorder="1" applyAlignment="1">
      <alignment vertical="center" wrapText="1"/>
    </xf>
    <xf numFmtId="49" fontId="12" fillId="0" borderId="1196" xfId="1" applyNumberFormat="1" applyFont="1" applyBorder="1" applyAlignment="1">
      <alignment horizontal="center" vertical="center"/>
    </xf>
    <xf numFmtId="3" fontId="3" fillId="0" borderId="1298" xfId="1" applyNumberFormat="1" applyFont="1" applyBorder="1" applyAlignment="1">
      <alignment horizontal="right" vertical="center"/>
    </xf>
    <xf numFmtId="4" fontId="3" fillId="0" borderId="1196" xfId="1" applyNumberFormat="1" applyFont="1" applyBorder="1" applyAlignment="1">
      <alignment horizontal="right" vertical="center"/>
    </xf>
    <xf numFmtId="4" fontId="3" fillId="0" borderId="1361" xfId="1" applyNumberFormat="1" applyFont="1" applyBorder="1" applyAlignment="1">
      <alignment horizontal="right" vertical="center"/>
    </xf>
    <xf numFmtId="49" fontId="12" fillId="0" borderId="1311" xfId="1" applyNumberFormat="1" applyFont="1" applyBorder="1" applyAlignment="1">
      <alignment horizontal="center" vertical="center"/>
    </xf>
    <xf numFmtId="3" fontId="3" fillId="0" borderId="1354" xfId="1" applyNumberFormat="1" applyFont="1" applyBorder="1" applyAlignment="1">
      <alignment horizontal="right" vertical="center"/>
    </xf>
    <xf numFmtId="4" fontId="3" fillId="0" borderId="1311" xfId="1" applyNumberFormat="1" applyFont="1" applyBorder="1" applyAlignment="1">
      <alignment horizontal="right" vertical="center"/>
    </xf>
    <xf numFmtId="4" fontId="3" fillId="0" borderId="1363" xfId="1" applyNumberFormat="1" applyFont="1" applyBorder="1" applyAlignment="1">
      <alignment horizontal="right" vertical="center"/>
    </xf>
    <xf numFmtId="4" fontId="12" fillId="4" borderId="1311" xfId="1" applyNumberFormat="1" applyFont="1" applyFill="1" applyBorder="1" applyAlignment="1">
      <alignment vertical="center"/>
    </xf>
    <xf numFmtId="3" fontId="12" fillId="4" borderId="166" xfId="1" applyNumberFormat="1" applyFont="1" applyFill="1" applyBorder="1" applyAlignment="1">
      <alignment horizontal="right" vertical="center" wrapText="1"/>
    </xf>
    <xf numFmtId="4" fontId="12" fillId="4" borderId="166" xfId="1" applyNumberFormat="1" applyFont="1" applyFill="1" applyBorder="1" applyAlignment="1">
      <alignment horizontal="right" vertical="center"/>
    </xf>
    <xf numFmtId="3" fontId="3" fillId="4" borderId="1358" xfId="1" applyNumberFormat="1" applyFont="1" applyFill="1" applyBorder="1" applyAlignment="1">
      <alignment horizontal="right" vertical="center"/>
    </xf>
    <xf numFmtId="4" fontId="12" fillId="4" borderId="1358" xfId="1" applyNumberFormat="1" applyFont="1" applyFill="1" applyBorder="1" applyAlignment="1">
      <alignment vertical="center"/>
    </xf>
    <xf numFmtId="0" fontId="12" fillId="4" borderId="1283" xfId="1" applyFont="1" applyFill="1" applyBorder="1" applyAlignment="1">
      <alignment horizontal="left" vertical="center" wrapText="1"/>
    </xf>
    <xf numFmtId="3" fontId="14" fillId="7" borderId="1230" xfId="1" applyNumberFormat="1" applyFont="1" applyFill="1" applyBorder="1" applyAlignment="1">
      <alignment horizontal="right" vertical="center" wrapText="1"/>
    </xf>
    <xf numFmtId="4" fontId="14" fillId="7" borderId="888" xfId="1" applyNumberFormat="1" applyFont="1" applyFill="1" applyBorder="1" applyAlignment="1">
      <alignment horizontal="right" vertical="center" wrapText="1"/>
    </xf>
    <xf numFmtId="4" fontId="14" fillId="7" borderId="1230" xfId="1" applyNumberFormat="1" applyFont="1" applyFill="1" applyBorder="1" applyAlignment="1">
      <alignment horizontal="right" vertical="center" wrapText="1"/>
    </xf>
    <xf numFmtId="49" fontId="17" fillId="4" borderId="888" xfId="1" applyNumberFormat="1" applyFont="1" applyFill="1" applyBorder="1" applyAlignment="1">
      <alignment vertical="center"/>
    </xf>
    <xf numFmtId="49" fontId="12" fillId="4" borderId="1230" xfId="1" applyNumberFormat="1" applyFont="1" applyFill="1" applyBorder="1" applyAlignment="1">
      <alignment vertical="center" wrapText="1"/>
    </xf>
    <xf numFmtId="49" fontId="5" fillId="7" borderId="1230" xfId="1" applyNumberFormat="1" applyFont="1" applyFill="1" applyBorder="1" applyAlignment="1">
      <alignment vertical="center" wrapText="1"/>
    </xf>
    <xf numFmtId="0" fontId="25" fillId="0" borderId="1229" xfId="1" applyFont="1" applyBorder="1" applyAlignment="1">
      <alignment horizontal="left" vertical="center" wrapText="1"/>
    </xf>
    <xf numFmtId="49" fontId="20" fillId="7" borderId="888" xfId="1" applyNumberFormat="1" applyFont="1" applyFill="1" applyBorder="1" applyAlignment="1">
      <alignment horizontal="center" vertical="center"/>
    </xf>
    <xf numFmtId="49" fontId="20" fillId="7" borderId="1230" xfId="1" applyNumberFormat="1" applyFont="1" applyFill="1" applyBorder="1" applyAlignment="1">
      <alignment horizontal="left" vertical="center" wrapText="1"/>
    </xf>
    <xf numFmtId="3" fontId="26" fillId="7" borderId="1230" xfId="1" applyNumberFormat="1" applyFont="1" applyFill="1" applyBorder="1" applyAlignment="1">
      <alignment horizontal="right" vertical="center"/>
    </xf>
    <xf numFmtId="4" fontId="26" fillId="7" borderId="888" xfId="1" applyNumberFormat="1" applyFont="1" applyFill="1" applyBorder="1" applyAlignment="1">
      <alignment horizontal="right" vertical="center"/>
    </xf>
    <xf numFmtId="4" fontId="26" fillId="7" borderId="1230" xfId="1" applyNumberFormat="1" applyFont="1" applyFill="1" applyBorder="1" applyAlignment="1">
      <alignment horizontal="right" vertical="center"/>
    </xf>
    <xf numFmtId="0" fontId="10" fillId="7" borderId="1229" xfId="3" applyFont="1" applyFill="1" applyBorder="1" applyAlignment="1">
      <alignment horizontal="left" vertical="center" wrapText="1"/>
    </xf>
    <xf numFmtId="49" fontId="28" fillId="4" borderId="888" xfId="1" applyNumberFormat="1" applyFont="1" applyFill="1" applyBorder="1" applyAlignment="1">
      <alignment horizontal="center" vertical="center"/>
    </xf>
    <xf numFmtId="49" fontId="10" fillId="4" borderId="1230" xfId="1" applyNumberFormat="1" applyFont="1" applyFill="1" applyBorder="1" applyAlignment="1">
      <alignment horizontal="center" vertical="center" wrapText="1"/>
    </xf>
    <xf numFmtId="49" fontId="10" fillId="4" borderId="888" xfId="1" applyNumberFormat="1" applyFont="1" applyFill="1" applyBorder="1" applyAlignment="1">
      <alignment horizontal="center" vertical="center"/>
    </xf>
    <xf numFmtId="3" fontId="11" fillId="4" borderId="1230" xfId="1" applyNumberFormat="1" applyFont="1" applyFill="1" applyBorder="1" applyAlignment="1">
      <alignment horizontal="center" vertical="center"/>
    </xf>
    <xf numFmtId="4" fontId="10" fillId="4" borderId="888" xfId="1" applyNumberFormat="1" applyFont="1" applyFill="1" applyBorder="1" applyAlignment="1">
      <alignment horizontal="center" vertical="center"/>
    </xf>
    <xf numFmtId="4" fontId="10" fillId="4" borderId="1230" xfId="1" applyNumberFormat="1" applyFont="1" applyFill="1" applyBorder="1" applyAlignment="1">
      <alignment horizontal="right" vertical="center"/>
    </xf>
    <xf numFmtId="4" fontId="10" fillId="4" borderId="888" xfId="1" applyNumberFormat="1" applyFont="1" applyFill="1" applyBorder="1" applyAlignment="1">
      <alignment horizontal="right" vertical="center"/>
    </xf>
    <xf numFmtId="0" fontId="10" fillId="0" borderId="1229" xfId="1" applyFont="1" applyBorder="1" applyAlignment="1">
      <alignment horizontal="left" vertical="center" wrapText="1"/>
    </xf>
    <xf numFmtId="49" fontId="5" fillId="0" borderId="1210" xfId="1" applyNumberFormat="1" applyFont="1" applyBorder="1" applyAlignment="1">
      <alignment horizontal="center" vertical="center"/>
    </xf>
    <xf numFmtId="49" fontId="12" fillId="4" borderId="1245" xfId="1" applyNumberFormat="1" applyFont="1" applyFill="1" applyBorder="1" applyAlignment="1">
      <alignment horizontal="center" vertical="center"/>
    </xf>
    <xf numFmtId="3" fontId="12" fillId="4" borderId="1366" xfId="1" applyNumberFormat="1" applyFont="1" applyFill="1" applyBorder="1" applyAlignment="1">
      <alignment horizontal="right" vertical="center" wrapText="1"/>
    </xf>
    <xf numFmtId="4" fontId="12" fillId="4" borderId="1245" xfId="1" applyNumberFormat="1" applyFont="1" applyFill="1" applyBorder="1" applyAlignment="1">
      <alignment vertical="center"/>
    </xf>
    <xf numFmtId="4" fontId="12" fillId="4" borderId="1366" xfId="1" applyNumberFormat="1" applyFont="1" applyFill="1" applyBorder="1" applyAlignment="1">
      <alignment horizontal="right" vertical="center"/>
    </xf>
    <xf numFmtId="4" fontId="12" fillId="4" borderId="1245" xfId="1" applyNumberFormat="1" applyFont="1" applyFill="1" applyBorder="1" applyAlignment="1">
      <alignment horizontal="right" vertical="center"/>
    </xf>
    <xf numFmtId="49" fontId="28" fillId="6" borderId="888" xfId="1" applyNumberFormat="1" applyFont="1" applyFill="1" applyBorder="1" applyAlignment="1">
      <alignment horizontal="center" vertical="center"/>
    </xf>
    <xf numFmtId="0" fontId="10" fillId="6" borderId="1229" xfId="1" applyFont="1" applyFill="1" applyBorder="1" applyAlignment="1">
      <alignment horizontal="left" vertical="center" wrapText="1"/>
    </xf>
    <xf numFmtId="49" fontId="7" fillId="0" borderId="1196" xfId="1" applyNumberFormat="1" applyFont="1" applyBorder="1" applyAlignment="1">
      <alignment vertical="top"/>
    </xf>
    <xf numFmtId="49" fontId="14" fillId="7" borderId="1196" xfId="1" applyNumberFormat="1" applyFont="1" applyFill="1" applyBorder="1" applyAlignment="1">
      <alignment horizontal="center" vertical="center"/>
    </xf>
    <xf numFmtId="49" fontId="14" fillId="7" borderId="1361" xfId="1" applyNumberFormat="1" applyFont="1" applyFill="1" applyBorder="1" applyAlignment="1">
      <alignment horizontal="left" vertical="center" wrapText="1"/>
    </xf>
    <xf numFmtId="49" fontId="20" fillId="7" borderId="1196" xfId="1" applyNumberFormat="1" applyFont="1" applyFill="1" applyBorder="1" applyAlignment="1">
      <alignment horizontal="center" vertical="center"/>
    </xf>
    <xf numFmtId="3" fontId="15" fillId="7" borderId="1361" xfId="1" applyNumberFormat="1" applyFont="1" applyFill="1" applyBorder="1" applyAlignment="1">
      <alignment horizontal="right" vertical="center"/>
    </xf>
    <xf numFmtId="4" fontId="15" fillId="7" borderId="1196" xfId="1" applyNumberFormat="1" applyFont="1" applyFill="1" applyBorder="1" applyAlignment="1">
      <alignment horizontal="right" vertical="center"/>
    </xf>
    <xf numFmtId="4" fontId="14" fillId="7" borderId="1361" xfId="1" applyNumberFormat="1" applyFont="1" applyFill="1" applyBorder="1" applyAlignment="1">
      <alignment vertical="center"/>
    </xf>
    <xf numFmtId="4" fontId="14" fillId="7" borderId="1196" xfId="1" applyNumberFormat="1" applyFont="1" applyFill="1" applyBorder="1" applyAlignment="1">
      <alignment vertical="center"/>
    </xf>
    <xf numFmtId="0" fontId="7" fillId="7" borderId="1362" xfId="1" applyFont="1" applyFill="1" applyBorder="1" applyAlignment="1">
      <alignment horizontal="left" vertical="center" wrapText="1"/>
    </xf>
    <xf numFmtId="49" fontId="28" fillId="4" borderId="1196" xfId="1" applyNumberFormat="1" applyFont="1" applyFill="1" applyBorder="1" applyAlignment="1">
      <alignment vertical="center"/>
    </xf>
    <xf numFmtId="49" fontId="28" fillId="4" borderId="1196" xfId="1" applyNumberFormat="1" applyFont="1" applyFill="1" applyBorder="1" applyAlignment="1">
      <alignment vertical="center" wrapText="1"/>
    </xf>
    <xf numFmtId="49" fontId="28" fillId="4" borderId="888" xfId="1" applyNumberFormat="1" applyFont="1" applyFill="1" applyBorder="1" applyAlignment="1">
      <alignment vertical="center"/>
    </xf>
    <xf numFmtId="49" fontId="28" fillId="4" borderId="888" xfId="1" applyNumberFormat="1" applyFont="1" applyFill="1" applyBorder="1" applyAlignment="1">
      <alignment vertical="center" wrapText="1"/>
    </xf>
    <xf numFmtId="49" fontId="12" fillId="4" borderId="888" xfId="1" applyNumberFormat="1" applyFont="1" applyFill="1" applyBorder="1" applyAlignment="1">
      <alignment horizontal="center" vertical="center"/>
    </xf>
    <xf numFmtId="3" fontId="3" fillId="4" borderId="1353" xfId="1" applyNumberFormat="1" applyFont="1" applyFill="1" applyBorder="1" applyAlignment="1">
      <alignment horizontal="center" vertical="center"/>
    </xf>
    <xf numFmtId="4" fontId="12" fillId="4" borderId="888" xfId="1" applyNumberFormat="1" applyFont="1" applyFill="1" applyBorder="1" applyAlignment="1">
      <alignment horizontal="center" vertical="center"/>
    </xf>
    <xf numFmtId="4" fontId="12" fillId="4" borderId="1230" xfId="1" applyNumberFormat="1" applyFont="1" applyFill="1" applyBorder="1" applyAlignment="1">
      <alignment horizontal="right" vertical="center"/>
    </xf>
    <xf numFmtId="4" fontId="12" fillId="4" borderId="888" xfId="1" applyNumberFormat="1" applyFont="1" applyFill="1" applyBorder="1" applyAlignment="1">
      <alignment horizontal="right" vertical="center"/>
    </xf>
    <xf numFmtId="0" fontId="12" fillId="0" borderId="1229" xfId="1" applyFont="1" applyBorder="1" applyAlignment="1">
      <alignment horizontal="left" vertical="top" wrapText="1"/>
    </xf>
    <xf numFmtId="0" fontId="7" fillId="7" borderId="1229" xfId="1" applyFont="1" applyFill="1" applyBorder="1" applyAlignment="1">
      <alignment horizontal="left" vertical="center" wrapText="1"/>
    </xf>
    <xf numFmtId="49" fontId="12" fillId="0" borderId="1245" xfId="1" applyNumberFormat="1" applyFont="1" applyFill="1" applyBorder="1" applyAlignment="1">
      <alignment horizontal="center" vertical="center"/>
    </xf>
    <xf numFmtId="3" fontId="3" fillId="0" borderId="1366" xfId="1" applyNumberFormat="1" applyFont="1" applyFill="1" applyBorder="1" applyAlignment="1">
      <alignment horizontal="right" vertical="center"/>
    </xf>
    <xf numFmtId="4" fontId="3" fillId="0" borderId="1366" xfId="1" applyNumberFormat="1" applyFont="1" applyFill="1" applyBorder="1" applyAlignment="1">
      <alignment horizontal="right" vertical="center"/>
    </xf>
    <xf numFmtId="4" fontId="3" fillId="0" borderId="1245" xfId="1" applyNumberFormat="1" applyFont="1" applyFill="1" applyBorder="1" applyAlignment="1">
      <alignment horizontal="right" vertical="center"/>
    </xf>
    <xf numFmtId="0" fontId="12" fillId="0" borderId="1324" xfId="1" applyFont="1" applyFill="1" applyBorder="1" applyAlignment="1">
      <alignment horizontal="left" vertical="center" wrapText="1"/>
    </xf>
    <xf numFmtId="49" fontId="5" fillId="6" borderId="888" xfId="1" applyNumberFormat="1" applyFont="1" applyFill="1" applyBorder="1" applyAlignment="1">
      <alignment horizontal="center" vertical="center"/>
    </xf>
    <xf numFmtId="0" fontId="5" fillId="6" borderId="888" xfId="1" applyFont="1" applyFill="1" applyBorder="1" applyAlignment="1">
      <alignment horizontal="left" vertical="center" wrapText="1"/>
    </xf>
    <xf numFmtId="49" fontId="7" fillId="6" borderId="1353" xfId="1" applyNumberFormat="1" applyFont="1" applyFill="1" applyBorder="1" applyAlignment="1">
      <alignment horizontal="center" vertical="center"/>
    </xf>
    <xf numFmtId="49" fontId="7" fillId="6" borderId="888" xfId="1" applyNumberFormat="1" applyFont="1" applyFill="1" applyBorder="1" applyAlignment="1">
      <alignment horizontal="center" vertical="center"/>
    </xf>
    <xf numFmtId="49" fontId="7" fillId="6" borderId="1230" xfId="1" applyNumberFormat="1" applyFont="1" applyFill="1" applyBorder="1" applyAlignment="1">
      <alignment horizontal="left" vertical="center" wrapText="1"/>
    </xf>
    <xf numFmtId="3" fontId="7" fillId="6" borderId="1230" xfId="1" applyNumberFormat="1" applyFont="1" applyFill="1" applyBorder="1" applyAlignment="1">
      <alignment horizontal="right" vertical="center" wrapText="1"/>
    </xf>
    <xf numFmtId="4" fontId="7" fillId="6" borderId="888" xfId="1" applyNumberFormat="1" applyFont="1" applyFill="1" applyBorder="1" applyAlignment="1">
      <alignment horizontal="right" vertical="center" wrapText="1"/>
    </xf>
    <xf numFmtId="4" fontId="7" fillId="6" borderId="1230" xfId="1" applyNumberFormat="1" applyFont="1" applyFill="1" applyBorder="1" applyAlignment="1">
      <alignment horizontal="right" vertical="center" wrapText="1"/>
    </xf>
    <xf numFmtId="0" fontId="10" fillId="6" borderId="888" xfId="1" applyFont="1" applyFill="1" applyBorder="1" applyAlignment="1">
      <alignment horizontal="left" vertical="center" wrapText="1"/>
    </xf>
    <xf numFmtId="49" fontId="5" fillId="0" borderId="1196" xfId="1" applyNumberFormat="1" applyFont="1" applyBorder="1" applyAlignment="1">
      <alignment vertical="center"/>
    </xf>
    <xf numFmtId="49" fontId="5" fillId="7" borderId="1230" xfId="1" applyNumberFormat="1" applyFont="1" applyFill="1" applyBorder="1" applyAlignment="1">
      <alignment horizontal="left" vertical="center" wrapText="1"/>
    </xf>
    <xf numFmtId="3" fontId="5" fillId="7" borderId="1230" xfId="1" applyNumberFormat="1" applyFont="1" applyFill="1" applyBorder="1" applyAlignment="1">
      <alignment horizontal="right" vertical="center" wrapText="1"/>
    </xf>
    <xf numFmtId="4" fontId="5" fillId="7" borderId="888" xfId="1" applyNumberFormat="1" applyFont="1" applyFill="1" applyBorder="1" applyAlignment="1">
      <alignment horizontal="right" vertical="center" wrapText="1"/>
    </xf>
    <xf numFmtId="4" fontId="5" fillId="7" borderId="1230" xfId="1" applyNumberFormat="1" applyFont="1" applyFill="1" applyBorder="1" applyAlignment="1">
      <alignment horizontal="right" vertical="center" wrapText="1"/>
    </xf>
    <xf numFmtId="0" fontId="7" fillId="7" borderId="888" xfId="1" applyFont="1" applyFill="1" applyBorder="1" applyAlignment="1">
      <alignment horizontal="left" vertical="center" wrapText="1"/>
    </xf>
    <xf numFmtId="49" fontId="7" fillId="7" borderId="1230" xfId="1" applyNumberFormat="1" applyFont="1" applyFill="1" applyBorder="1" applyAlignment="1">
      <alignment horizontal="left" vertical="center" wrapText="1"/>
    </xf>
    <xf numFmtId="3" fontId="7" fillId="7" borderId="1230" xfId="1" applyNumberFormat="1" applyFont="1" applyFill="1" applyBorder="1" applyAlignment="1">
      <alignment horizontal="right" vertical="center" wrapText="1"/>
    </xf>
    <xf numFmtId="4" fontId="7" fillId="7" borderId="888" xfId="1" applyNumberFormat="1" applyFont="1" applyFill="1" applyBorder="1" applyAlignment="1">
      <alignment horizontal="right" vertical="center" wrapText="1"/>
    </xf>
    <xf numFmtId="4" fontId="7" fillId="7" borderId="1230" xfId="1" applyNumberFormat="1" applyFont="1" applyFill="1" applyBorder="1" applyAlignment="1">
      <alignment horizontal="right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4" fontId="18" fillId="4" borderId="0" xfId="1" applyNumberFormat="1" applyFont="1" applyFill="1" applyBorder="1" applyAlignment="1">
      <alignment horizontal="right" vertical="center"/>
    </xf>
    <xf numFmtId="0" fontId="18" fillId="0" borderId="1196" xfId="3" applyFont="1" applyBorder="1" applyAlignment="1">
      <alignment horizontal="left" vertical="center" wrapText="1"/>
    </xf>
    <xf numFmtId="0" fontId="7" fillId="6" borderId="888" xfId="1" applyFont="1" applyFill="1" applyBorder="1" applyAlignment="1">
      <alignment horizontal="left" vertical="center"/>
    </xf>
    <xf numFmtId="0" fontId="14" fillId="7" borderId="1230" xfId="1" applyFont="1" applyFill="1" applyBorder="1" applyAlignment="1">
      <alignment vertical="center" wrapText="1"/>
    </xf>
    <xf numFmtId="0" fontId="15" fillId="7" borderId="888" xfId="1" applyFont="1" applyFill="1" applyBorder="1"/>
    <xf numFmtId="4" fontId="14" fillId="7" borderId="888" xfId="1" applyNumberFormat="1" applyFont="1" applyFill="1" applyBorder="1" applyAlignment="1">
      <alignment vertical="center" wrapText="1"/>
    </xf>
    <xf numFmtId="0" fontId="20" fillId="7" borderId="888" xfId="1" applyFont="1" applyFill="1" applyBorder="1" applyAlignment="1">
      <alignment horizontal="left" vertical="center"/>
    </xf>
    <xf numFmtId="49" fontId="10" fillId="4" borderId="888" xfId="1" applyNumberFormat="1" applyFont="1" applyFill="1" applyBorder="1" applyAlignment="1">
      <alignment vertical="center"/>
    </xf>
    <xf numFmtId="49" fontId="10" fillId="4" borderId="888" xfId="1" applyNumberFormat="1" applyFont="1" applyFill="1" applyBorder="1" applyAlignment="1">
      <alignment vertical="center" wrapText="1"/>
    </xf>
    <xf numFmtId="0" fontId="12" fillId="0" borderId="12" xfId="2" applyFont="1" applyBorder="1" applyAlignment="1">
      <alignment horizontal="left" vertical="top" wrapText="1"/>
    </xf>
    <xf numFmtId="49" fontId="5" fillId="0" borderId="888" xfId="1" applyNumberFormat="1" applyFont="1" applyBorder="1" applyAlignment="1">
      <alignment vertical="center"/>
    </xf>
    <xf numFmtId="3" fontId="12" fillId="4" borderId="1230" xfId="1" applyNumberFormat="1" applyFont="1" applyFill="1" applyBorder="1" applyAlignment="1">
      <alignment horizontal="right" vertical="center" wrapText="1"/>
    </xf>
    <xf numFmtId="4" fontId="12" fillId="4" borderId="888" xfId="1" applyNumberFormat="1" applyFont="1" applyFill="1" applyBorder="1" applyAlignment="1">
      <alignment horizontal="right" vertical="center" wrapText="1"/>
    </xf>
    <xf numFmtId="4" fontId="12" fillId="4" borderId="1230" xfId="1" applyNumberFormat="1" applyFont="1" applyFill="1" applyBorder="1" applyAlignment="1">
      <alignment horizontal="right" vertical="center" wrapText="1"/>
    </xf>
    <xf numFmtId="0" fontId="12" fillId="4" borderId="1229" xfId="1" applyFont="1" applyFill="1" applyBorder="1" applyAlignment="1">
      <alignment horizontal="left" vertical="top" wrapText="1"/>
    </xf>
    <xf numFmtId="49" fontId="5" fillId="8" borderId="1353" xfId="1" applyNumberFormat="1" applyFont="1" applyFill="1" applyBorder="1" applyAlignment="1">
      <alignment horizontal="center" vertical="center"/>
    </xf>
    <xf numFmtId="0" fontId="3" fillId="8" borderId="888" xfId="1" applyFont="1" applyFill="1" applyBorder="1" applyAlignment="1">
      <alignment horizontal="center"/>
    </xf>
    <xf numFmtId="0" fontId="5" fillId="8" borderId="1230" xfId="1" applyFont="1" applyFill="1" applyBorder="1" applyAlignment="1">
      <alignment vertical="center" wrapText="1"/>
    </xf>
    <xf numFmtId="3" fontId="5" fillId="8" borderId="1230" xfId="1" applyNumberFormat="1" applyFont="1" applyFill="1" applyBorder="1" applyAlignment="1">
      <alignment horizontal="right" vertical="center" wrapText="1"/>
    </xf>
    <xf numFmtId="4" fontId="5" fillId="8" borderId="888" xfId="1" applyNumberFormat="1" applyFont="1" applyFill="1" applyBorder="1" applyAlignment="1">
      <alignment horizontal="right" vertical="center" wrapText="1"/>
    </xf>
    <xf numFmtId="4" fontId="5" fillId="8" borderId="1230" xfId="1" applyNumberFormat="1" applyFont="1" applyFill="1" applyBorder="1" applyAlignment="1">
      <alignment horizontal="right" vertical="center" wrapText="1"/>
    </xf>
    <xf numFmtId="0" fontId="5" fillId="8" borderId="1229" xfId="1" applyFont="1" applyFill="1" applyBorder="1" applyAlignment="1">
      <alignment horizontal="left" vertical="center"/>
    </xf>
    <xf numFmtId="0" fontId="14" fillId="7" borderId="888" xfId="1" applyFont="1" applyFill="1" applyBorder="1" applyAlignment="1">
      <alignment horizontal="center" vertical="center"/>
    </xf>
    <xf numFmtId="0" fontId="14" fillId="7" borderId="888" xfId="1" applyFont="1" applyFill="1" applyBorder="1" applyAlignment="1">
      <alignment vertical="center" wrapText="1"/>
    </xf>
    <xf numFmtId="3" fontId="14" fillId="7" borderId="1353" xfId="1" applyNumberFormat="1" applyFont="1" applyFill="1" applyBorder="1" applyAlignment="1">
      <alignment horizontal="right" vertical="center" wrapText="1"/>
    </xf>
    <xf numFmtId="0" fontId="14" fillId="7" borderId="1229" xfId="1" applyFont="1" applyFill="1" applyBorder="1" applyAlignment="1">
      <alignment horizontal="left" vertical="center"/>
    </xf>
    <xf numFmtId="0" fontId="12" fillId="0" borderId="1245" xfId="1" applyFont="1" applyFill="1" applyBorder="1" applyAlignment="1">
      <alignment horizontal="center" vertical="center"/>
    </xf>
    <xf numFmtId="3" fontId="12" fillId="0" borderId="1246" xfId="1" applyNumberFormat="1" applyFont="1" applyFill="1" applyBorder="1" applyAlignment="1">
      <alignment horizontal="right" vertical="center" wrapText="1"/>
    </xf>
    <xf numFmtId="4" fontId="12" fillId="0" borderId="1245" xfId="1" applyNumberFormat="1" applyFont="1" applyBorder="1" applyAlignment="1">
      <alignment horizontal="right" vertical="center" wrapText="1"/>
    </xf>
    <xf numFmtId="4" fontId="12" fillId="0" borderId="1366" xfId="1" applyNumberFormat="1" applyFont="1" applyFill="1" applyBorder="1" applyAlignment="1">
      <alignment horizontal="right" vertical="center" wrapText="1"/>
    </xf>
    <xf numFmtId="4" fontId="12" fillId="0" borderId="1245" xfId="1" applyNumberFormat="1" applyFont="1" applyFill="1" applyBorder="1" applyAlignment="1">
      <alignment horizontal="right" vertical="center" wrapText="1"/>
    </xf>
    <xf numFmtId="0" fontId="12" fillId="0" borderId="1324" xfId="1" applyFont="1" applyFill="1" applyBorder="1" applyAlignment="1">
      <alignment horizontal="left" vertical="top" wrapText="1"/>
    </xf>
    <xf numFmtId="3" fontId="12" fillId="0" borderId="1365" xfId="1" applyNumberFormat="1" applyFont="1" applyBorder="1" applyAlignment="1">
      <alignment horizontal="right" vertical="center" wrapText="1"/>
    </xf>
    <xf numFmtId="0" fontId="12" fillId="0" borderId="888" xfId="1" applyFont="1" applyBorder="1" applyAlignment="1">
      <alignment horizontal="center" vertical="center"/>
    </xf>
    <xf numFmtId="0" fontId="12" fillId="0" borderId="888" xfId="1" applyFont="1" applyBorder="1" applyAlignment="1">
      <alignment vertical="center" wrapText="1"/>
    </xf>
    <xf numFmtId="3" fontId="12" fillId="0" borderId="1353" xfId="1" applyNumberFormat="1" applyFont="1" applyBorder="1" applyAlignment="1">
      <alignment horizontal="right" vertical="center" wrapText="1"/>
    </xf>
    <xf numFmtId="4" fontId="12" fillId="0" borderId="888" xfId="1" applyNumberFormat="1" applyFont="1" applyBorder="1" applyAlignment="1">
      <alignment horizontal="right" vertical="center" wrapText="1"/>
    </xf>
    <xf numFmtId="4" fontId="12" fillId="0" borderId="1230" xfId="1" applyNumberFormat="1" applyFont="1" applyBorder="1" applyAlignment="1">
      <alignment horizontal="right" vertical="center" wrapText="1"/>
    </xf>
    <xf numFmtId="0" fontId="12" fillId="0" borderId="1229" xfId="1" applyFont="1" applyBorder="1" applyAlignment="1">
      <alignment horizontal="left" vertical="center" wrapText="1"/>
    </xf>
    <xf numFmtId="49" fontId="12" fillId="4" borderId="0" xfId="1" applyNumberFormat="1" applyFont="1" applyFill="1" applyBorder="1" applyAlignment="1">
      <alignment horizontal="left" vertical="center" wrapText="1"/>
    </xf>
    <xf numFmtId="4" fontId="12" fillId="4" borderId="1358" xfId="1" applyNumberFormat="1" applyFont="1" applyFill="1" applyBorder="1" applyAlignment="1">
      <alignment horizontal="right" vertical="center" wrapText="1"/>
    </xf>
    <xf numFmtId="0" fontId="12" fillId="0" borderId="1283" xfId="2" applyFont="1" applyBorder="1" applyAlignment="1">
      <alignment horizontal="left" vertical="center" wrapText="1"/>
    </xf>
    <xf numFmtId="0" fontId="3" fillId="6" borderId="1230" xfId="1" applyFont="1" applyFill="1" applyBorder="1" applyAlignment="1">
      <alignment horizontal="center"/>
    </xf>
    <xf numFmtId="0" fontId="5" fillId="6" borderId="888" xfId="1" applyFont="1" applyFill="1" applyBorder="1" applyAlignment="1">
      <alignment vertical="center" wrapText="1"/>
    </xf>
    <xf numFmtId="3" fontId="5" fillId="6" borderId="888" xfId="1" applyNumberFormat="1" applyFont="1" applyFill="1" applyBorder="1" applyAlignment="1">
      <alignment horizontal="right" vertical="center" wrapText="1"/>
    </xf>
    <xf numFmtId="4" fontId="5" fillId="6" borderId="1321" xfId="1" applyNumberFormat="1" applyFont="1" applyFill="1" applyBorder="1" applyAlignment="1">
      <alignment horizontal="right" vertical="center" wrapText="1"/>
    </xf>
    <xf numFmtId="4" fontId="5" fillId="6" borderId="888" xfId="1" applyNumberFormat="1" applyFont="1" applyFill="1" applyBorder="1" applyAlignment="1">
      <alignment horizontal="left" vertical="center" wrapText="1"/>
    </xf>
    <xf numFmtId="49" fontId="31" fillId="7" borderId="1353" xfId="1" applyNumberFormat="1" applyFont="1" applyFill="1" applyBorder="1" applyAlignment="1">
      <alignment horizontal="center" vertical="center"/>
    </xf>
    <xf numFmtId="0" fontId="31" fillId="7" borderId="888" xfId="1" applyFont="1" applyFill="1" applyBorder="1" applyAlignment="1">
      <alignment vertical="center" wrapText="1"/>
    </xf>
    <xf numFmtId="49" fontId="31" fillId="7" borderId="888" xfId="1" applyNumberFormat="1" applyFont="1" applyFill="1" applyBorder="1" applyAlignment="1">
      <alignment horizontal="center" vertical="center"/>
    </xf>
    <xf numFmtId="3" fontId="31" fillId="7" borderId="888" xfId="1" applyNumberFormat="1" applyFont="1" applyFill="1" applyBorder="1" applyAlignment="1">
      <alignment horizontal="right" vertical="center"/>
    </xf>
    <xf numFmtId="4" fontId="31" fillId="7" borderId="888" xfId="1" applyNumberFormat="1" applyFont="1" applyFill="1" applyBorder="1" applyAlignment="1">
      <alignment horizontal="right" vertical="center"/>
    </xf>
    <xf numFmtId="4" fontId="31" fillId="7" borderId="888" xfId="1" applyNumberFormat="1" applyFont="1" applyFill="1" applyBorder="1" applyAlignment="1">
      <alignment horizontal="left" vertical="center"/>
    </xf>
    <xf numFmtId="49" fontId="14" fillId="6" borderId="888" xfId="1" applyNumberFormat="1" applyFont="1" applyFill="1" applyBorder="1" applyAlignment="1">
      <alignment horizontal="center" vertical="center"/>
    </xf>
    <xf numFmtId="49" fontId="14" fillId="6" borderId="888" xfId="1" applyNumberFormat="1" applyFont="1" applyFill="1" applyBorder="1" applyAlignment="1">
      <alignment horizontal="left" vertical="center" wrapText="1"/>
    </xf>
    <xf numFmtId="3" fontId="14" fillId="6" borderId="1353" xfId="1" applyNumberFormat="1" applyFont="1" applyFill="1" applyBorder="1" applyAlignment="1">
      <alignment horizontal="right" vertical="center" wrapText="1"/>
    </xf>
    <xf numFmtId="4" fontId="14" fillId="6" borderId="888" xfId="1" applyNumberFormat="1" applyFont="1" applyFill="1" applyBorder="1" applyAlignment="1">
      <alignment horizontal="right" vertical="center" wrapText="1"/>
    </xf>
    <xf numFmtId="4" fontId="14" fillId="6" borderId="1353" xfId="1" applyNumberFormat="1" applyFont="1" applyFill="1" applyBorder="1" applyAlignment="1">
      <alignment horizontal="right" vertical="center" wrapText="1"/>
    </xf>
    <xf numFmtId="0" fontId="14" fillId="6" borderId="1229" xfId="2" applyFont="1" applyFill="1" applyBorder="1" applyAlignment="1">
      <alignment horizontal="left" vertical="center" wrapText="1"/>
    </xf>
    <xf numFmtId="49" fontId="14" fillId="7" borderId="888" xfId="1" applyNumberFormat="1" applyFont="1" applyFill="1" applyBorder="1" applyAlignment="1">
      <alignment horizontal="left" vertical="center" wrapText="1"/>
    </xf>
    <xf numFmtId="0" fontId="14" fillId="7" borderId="1229" xfId="2" applyFont="1" applyFill="1" applyBorder="1" applyAlignment="1">
      <alignment horizontal="left" vertical="center" wrapText="1"/>
    </xf>
    <xf numFmtId="49" fontId="14" fillId="0" borderId="1196" xfId="1" applyNumberFormat="1" applyFont="1" applyFill="1" applyBorder="1" applyAlignment="1">
      <alignment horizontal="center" vertical="center"/>
    </xf>
    <xf numFmtId="49" fontId="14" fillId="0" borderId="1196" xfId="1" applyNumberFormat="1" applyFont="1" applyFill="1" applyBorder="1" applyAlignment="1">
      <alignment horizontal="left" vertical="center" wrapText="1"/>
    </xf>
    <xf numFmtId="49" fontId="12" fillId="4" borderId="1196" xfId="1" applyNumberFormat="1" applyFont="1" applyFill="1" applyBorder="1" applyAlignment="1">
      <alignment horizontal="center" vertical="center"/>
    </xf>
    <xf numFmtId="3" fontId="12" fillId="4" borderId="1298" xfId="1" applyNumberFormat="1" applyFont="1" applyFill="1" applyBorder="1" applyAlignment="1">
      <alignment horizontal="right" vertical="center" wrapText="1"/>
    </xf>
    <xf numFmtId="4" fontId="12" fillId="4" borderId="1196" xfId="1" applyNumberFormat="1" applyFont="1" applyFill="1" applyBorder="1" applyAlignment="1">
      <alignment horizontal="right" vertical="center" wrapText="1"/>
    </xf>
    <xf numFmtId="0" fontId="12" fillId="0" borderId="1196" xfId="3" applyFont="1" applyBorder="1" applyAlignment="1">
      <alignment horizontal="left" vertical="center" wrapText="1"/>
    </xf>
    <xf numFmtId="3" fontId="20" fillId="7" borderId="1365" xfId="1" applyNumberFormat="1" applyFont="1" applyFill="1" applyBorder="1" applyAlignment="1">
      <alignment horizontal="right" vertical="center" wrapText="1"/>
    </xf>
    <xf numFmtId="49" fontId="10" fillId="4" borderId="888" xfId="1" applyNumberFormat="1" applyFont="1" applyFill="1" applyBorder="1" applyAlignment="1">
      <alignment horizontal="left" vertical="center" wrapText="1"/>
    </xf>
    <xf numFmtId="3" fontId="10" fillId="4" borderId="1353" xfId="1" applyNumberFormat="1" applyFont="1" applyFill="1" applyBorder="1" applyAlignment="1">
      <alignment horizontal="right" vertical="center" wrapText="1"/>
    </xf>
    <xf numFmtId="4" fontId="10" fillId="4" borderId="888" xfId="1" applyNumberFormat="1" applyFont="1" applyFill="1" applyBorder="1" applyAlignment="1">
      <alignment horizontal="right" vertical="center" wrapText="1"/>
    </xf>
    <xf numFmtId="4" fontId="10" fillId="4" borderId="1230" xfId="1" applyNumberFormat="1" applyFont="1" applyFill="1" applyBorder="1" applyAlignment="1">
      <alignment horizontal="right" vertical="center" wrapText="1"/>
    </xf>
    <xf numFmtId="0" fontId="10" fillId="0" borderId="1229" xfId="3" applyFont="1" applyBorder="1" applyAlignment="1">
      <alignment horizontal="left" vertical="center" wrapText="1"/>
    </xf>
    <xf numFmtId="0" fontId="11" fillId="6" borderId="888" xfId="1" applyFont="1" applyFill="1" applyBorder="1" applyAlignment="1">
      <alignment horizontal="center"/>
    </xf>
    <xf numFmtId="0" fontId="7" fillId="6" borderId="1230" xfId="1" applyFont="1" applyFill="1" applyBorder="1" applyAlignment="1">
      <alignment vertical="center" wrapText="1"/>
    </xf>
    <xf numFmtId="49" fontId="20" fillId="7" borderId="1245" xfId="1" applyNumberFormat="1" applyFont="1" applyFill="1" applyBorder="1" applyAlignment="1">
      <alignment horizontal="center" vertical="center"/>
    </xf>
    <xf numFmtId="49" fontId="20" fillId="7" borderId="1366" xfId="1" applyNumberFormat="1" applyFont="1" applyFill="1" applyBorder="1" applyAlignment="1">
      <alignment horizontal="left" vertical="center" wrapText="1"/>
    </xf>
    <xf numFmtId="3" fontId="20" fillId="7" borderId="1366" xfId="1" applyNumberFormat="1" applyFont="1" applyFill="1" applyBorder="1" applyAlignment="1">
      <alignment horizontal="right" vertical="center" wrapText="1"/>
    </xf>
    <xf numFmtId="4" fontId="20" fillId="7" borderId="1245" xfId="1" applyNumberFormat="1" applyFont="1" applyFill="1" applyBorder="1" applyAlignment="1">
      <alignment horizontal="right" vertical="center" wrapText="1"/>
    </xf>
    <xf numFmtId="4" fontId="20" fillId="7" borderId="1366" xfId="1" applyNumberFormat="1" applyFont="1" applyFill="1" applyBorder="1" applyAlignment="1">
      <alignment horizontal="right" vertical="center" wrapText="1"/>
    </xf>
    <xf numFmtId="0" fontId="20" fillId="7" borderId="1324" xfId="2" applyFont="1" applyFill="1" applyBorder="1" applyAlignment="1">
      <alignment horizontal="left" vertical="center"/>
    </xf>
    <xf numFmtId="0" fontId="10" fillId="4" borderId="1283" xfId="1" applyFont="1" applyFill="1" applyBorder="1" applyAlignment="1">
      <alignment horizontal="left" vertical="center" wrapText="1"/>
    </xf>
    <xf numFmtId="0" fontId="5" fillId="6" borderId="1229" xfId="1" applyFont="1" applyFill="1" applyBorder="1" applyAlignment="1">
      <alignment horizontal="left" vertical="center"/>
    </xf>
    <xf numFmtId="0" fontId="14" fillId="7" borderId="1229" xfId="2" applyFont="1" applyFill="1" applyBorder="1" applyAlignment="1">
      <alignment horizontal="left" vertical="center"/>
    </xf>
    <xf numFmtId="49" fontId="14" fillId="7" borderId="1245" xfId="1" applyNumberFormat="1" applyFont="1" applyFill="1" applyBorder="1" applyAlignment="1">
      <alignment horizontal="center" vertical="center"/>
    </xf>
    <xf numFmtId="49" fontId="14" fillId="7" borderId="1366" xfId="1" applyNumberFormat="1" applyFont="1" applyFill="1" applyBorder="1" applyAlignment="1">
      <alignment horizontal="left" vertical="center" wrapText="1"/>
    </xf>
    <xf numFmtId="3" fontId="14" fillId="7" borderId="1366" xfId="1" applyNumberFormat="1" applyFont="1" applyFill="1" applyBorder="1" applyAlignment="1">
      <alignment horizontal="right" vertical="center" wrapText="1"/>
    </xf>
    <xf numFmtId="4" fontId="14" fillId="7" borderId="1245" xfId="1" applyNumberFormat="1" applyFont="1" applyFill="1" applyBorder="1" applyAlignment="1">
      <alignment horizontal="right" vertical="center" wrapText="1"/>
    </xf>
    <xf numFmtId="4" fontId="14" fillId="7" borderId="1366" xfId="1" applyNumberFormat="1" applyFont="1" applyFill="1" applyBorder="1" applyAlignment="1">
      <alignment horizontal="right" vertical="center" wrapText="1"/>
    </xf>
    <xf numFmtId="49" fontId="12" fillId="0" borderId="831" xfId="1" applyNumberFormat="1" applyFont="1" applyBorder="1" applyAlignment="1">
      <alignment horizontal="center" vertical="center"/>
    </xf>
    <xf numFmtId="3" fontId="12" fillId="0" borderId="166" xfId="1" applyNumberFormat="1" applyFont="1" applyBorder="1" applyAlignment="1">
      <alignment horizontal="right" vertical="center" wrapText="1"/>
    </xf>
    <xf numFmtId="4" fontId="12" fillId="0" borderId="831" xfId="1" applyNumberFormat="1" applyFont="1" applyBorder="1" applyAlignment="1">
      <alignment horizontal="right" vertical="center" wrapText="1"/>
    </xf>
    <xf numFmtId="4" fontId="12" fillId="0" borderId="166" xfId="1" applyNumberFormat="1" applyFont="1" applyBorder="1" applyAlignment="1">
      <alignment horizontal="right" vertical="center" wrapText="1"/>
    </xf>
    <xf numFmtId="0" fontId="12" fillId="0" borderId="1348" xfId="1" applyFont="1" applyBorder="1" applyAlignment="1">
      <alignment horizontal="left" vertical="top" wrapText="1"/>
    </xf>
    <xf numFmtId="0" fontId="12" fillId="4" borderId="1283" xfId="1" applyFont="1" applyFill="1" applyBorder="1" applyAlignment="1">
      <alignment horizontal="left" vertical="top" wrapText="1"/>
    </xf>
    <xf numFmtId="49" fontId="32" fillId="6" borderId="1353" xfId="1" applyNumberFormat="1" applyFont="1" applyFill="1" applyBorder="1" applyAlignment="1">
      <alignment horizontal="center" vertical="center"/>
    </xf>
    <xf numFmtId="0" fontId="35" fillId="6" borderId="888" xfId="1" applyFont="1" applyFill="1" applyBorder="1" applyAlignment="1">
      <alignment horizontal="center"/>
    </xf>
    <xf numFmtId="0" fontId="32" fillId="6" borderId="1230" xfId="1" applyFont="1" applyFill="1" applyBorder="1" applyAlignment="1">
      <alignment vertical="center" wrapText="1"/>
    </xf>
    <xf numFmtId="3" fontId="32" fillId="6" borderId="1353" xfId="1" applyNumberFormat="1" applyFont="1" applyFill="1" applyBorder="1" applyAlignment="1">
      <alignment horizontal="right" vertical="center" wrapText="1"/>
    </xf>
    <xf numFmtId="3" fontId="32" fillId="6" borderId="888" xfId="1" applyNumberFormat="1" applyFont="1" applyFill="1" applyBorder="1" applyAlignment="1">
      <alignment horizontal="right" vertical="center" wrapText="1"/>
    </xf>
    <xf numFmtId="0" fontId="32" fillId="6" borderId="1229" xfId="1" applyFont="1" applyFill="1" applyBorder="1" applyAlignment="1">
      <alignment horizontal="left" vertical="center"/>
    </xf>
    <xf numFmtId="49" fontId="32" fillId="0" borderId="1196" xfId="1" applyNumberFormat="1" applyFont="1" applyBorder="1" applyAlignment="1">
      <alignment vertical="center"/>
    </xf>
    <xf numFmtId="0" fontId="31" fillId="7" borderId="1230" xfId="1" applyFont="1" applyFill="1" applyBorder="1" applyAlignment="1">
      <alignment vertical="center" wrapText="1"/>
    </xf>
    <xf numFmtId="3" fontId="33" fillId="7" borderId="1353" xfId="1" applyNumberFormat="1" applyFont="1" applyFill="1" applyBorder="1" applyAlignment="1">
      <alignment horizontal="right" vertical="center"/>
    </xf>
    <xf numFmtId="4" fontId="31" fillId="7" borderId="888" xfId="1" applyNumberFormat="1" applyFont="1" applyFill="1" applyBorder="1" applyAlignment="1">
      <alignment vertical="center"/>
    </xf>
    <xf numFmtId="4" fontId="31" fillId="7" borderId="1353" xfId="1" applyNumberFormat="1" applyFont="1" applyFill="1" applyBorder="1" applyAlignment="1">
      <alignment horizontal="right" vertical="center" wrapText="1"/>
    </xf>
    <xf numFmtId="4" fontId="31" fillId="7" borderId="888" xfId="1" applyNumberFormat="1" applyFont="1" applyFill="1" applyBorder="1" applyAlignment="1">
      <alignment horizontal="right" vertical="center" wrapText="1"/>
    </xf>
    <xf numFmtId="0" fontId="31" fillId="7" borderId="1229" xfId="3" applyFont="1" applyFill="1" applyBorder="1" applyAlignment="1">
      <alignment horizontal="left" vertical="center" wrapText="1"/>
    </xf>
    <xf numFmtId="3" fontId="35" fillId="4" borderId="1210" xfId="1" applyNumberFormat="1" applyFont="1" applyFill="1" applyBorder="1" applyAlignment="1">
      <alignment horizontal="right" vertical="center"/>
    </xf>
    <xf numFmtId="4" fontId="18" fillId="4" borderId="1210" xfId="1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4" fontId="18" fillId="4" borderId="26" xfId="1" applyNumberFormat="1" applyFont="1" applyFill="1" applyBorder="1" applyAlignment="1">
      <alignment vertical="center"/>
    </xf>
    <xf numFmtId="0" fontId="1" fillId="0" borderId="1196" xfId="0" applyFont="1" applyBorder="1" applyAlignment="1">
      <alignment vertical="center"/>
    </xf>
    <xf numFmtId="0" fontId="31" fillId="7" borderId="888" xfId="1" applyFont="1" applyFill="1" applyBorder="1" applyAlignment="1">
      <alignment horizontal="center" vertical="center"/>
    </xf>
    <xf numFmtId="3" fontId="31" fillId="7" borderId="1353" xfId="1" applyNumberFormat="1" applyFont="1" applyFill="1" applyBorder="1" applyAlignment="1">
      <alignment horizontal="right" vertical="center" wrapText="1"/>
    </xf>
    <xf numFmtId="0" fontId="31" fillId="7" borderId="1229" xfId="1" applyFont="1" applyFill="1" applyBorder="1" applyAlignment="1">
      <alignment horizontal="left" vertical="center"/>
    </xf>
    <xf numFmtId="0" fontId="18" fillId="0" borderId="1196" xfId="1" applyFont="1" applyBorder="1" applyAlignment="1">
      <alignment horizontal="center" vertical="center"/>
    </xf>
    <xf numFmtId="0" fontId="32" fillId="0" borderId="1196" xfId="1" applyFont="1" applyBorder="1" applyAlignment="1">
      <alignment vertical="center" wrapText="1"/>
    </xf>
    <xf numFmtId="4" fontId="31" fillId="7" borderId="1365" xfId="1" applyNumberFormat="1" applyFont="1" applyFill="1" applyBorder="1" applyAlignment="1">
      <alignment horizontal="right" vertical="center" wrapText="1"/>
    </xf>
    <xf numFmtId="0" fontId="18" fillId="0" borderId="1196" xfId="1" applyFont="1" applyBorder="1" applyAlignment="1">
      <alignment vertical="center"/>
    </xf>
    <xf numFmtId="4" fontId="18" fillId="4" borderId="1365" xfId="1" applyNumberFormat="1" applyFont="1" applyFill="1" applyBorder="1" applyAlignment="1">
      <alignment horizontal="right" vertical="center" wrapText="1"/>
    </xf>
    <xf numFmtId="49" fontId="7" fillId="0" borderId="888" xfId="1" applyNumberFormat="1" applyFont="1" applyBorder="1" applyAlignment="1">
      <alignment vertical="center"/>
    </xf>
    <xf numFmtId="49" fontId="14" fillId="0" borderId="888" xfId="1" applyNumberFormat="1" applyFont="1" applyBorder="1" applyAlignment="1">
      <alignment vertical="center"/>
    </xf>
    <xf numFmtId="0" fontId="15" fillId="0" borderId="888" xfId="1" applyFont="1" applyBorder="1" applyAlignment="1">
      <alignment vertical="center" wrapText="1"/>
    </xf>
    <xf numFmtId="3" fontId="3" fillId="4" borderId="1230" xfId="1" applyNumberFormat="1" applyFont="1" applyFill="1" applyBorder="1" applyAlignment="1">
      <alignment horizontal="right" vertical="center"/>
    </xf>
    <xf numFmtId="4" fontId="12" fillId="4" borderId="888" xfId="1" applyNumberFormat="1" applyFont="1" applyFill="1" applyBorder="1" applyAlignment="1">
      <alignment vertical="center"/>
    </xf>
    <xf numFmtId="4" fontId="12" fillId="4" borderId="1353" xfId="1" applyNumberFormat="1" applyFont="1" applyFill="1" applyBorder="1" applyAlignment="1">
      <alignment horizontal="right" vertical="center" wrapText="1"/>
    </xf>
    <xf numFmtId="0" fontId="12" fillId="0" borderId="1229" xfId="3" applyFont="1" applyBorder="1" applyAlignment="1">
      <alignment horizontal="left" vertical="top" wrapText="1"/>
    </xf>
    <xf numFmtId="49" fontId="5" fillId="2" borderId="888" xfId="1" applyNumberFormat="1" applyFont="1" applyFill="1" applyBorder="1" applyAlignment="1">
      <alignment horizontal="center" vertical="center"/>
    </xf>
    <xf numFmtId="3" fontId="5" fillId="2" borderId="888" xfId="1" applyNumberFormat="1" applyFont="1" applyFill="1" applyBorder="1" applyAlignment="1">
      <alignment horizontal="right" vertical="center"/>
    </xf>
    <xf numFmtId="4" fontId="5" fillId="2" borderId="888" xfId="1" applyNumberFormat="1" applyFont="1" applyFill="1" applyBorder="1" applyAlignment="1">
      <alignment horizontal="right" vertical="center"/>
    </xf>
    <xf numFmtId="0" fontId="12" fillId="2" borderId="888" xfId="1" applyFont="1" applyFill="1" applyBorder="1" applyAlignment="1">
      <alignment horizontal="left" vertical="center" wrapText="1"/>
    </xf>
    <xf numFmtId="49" fontId="32" fillId="0" borderId="888" xfId="1" applyNumberFormat="1" applyFont="1" applyBorder="1" applyAlignment="1">
      <alignment vertical="center"/>
    </xf>
    <xf numFmtId="0" fontId="30" fillId="0" borderId="888" xfId="1" applyFont="1" applyBorder="1" applyAlignment="1">
      <alignment vertical="center"/>
    </xf>
    <xf numFmtId="0" fontId="30" fillId="0" borderId="888" xfId="1" applyFont="1" applyBorder="1" applyAlignment="1">
      <alignment vertical="center" wrapText="1"/>
    </xf>
    <xf numFmtId="0" fontId="18" fillId="0" borderId="888" xfId="1" applyFont="1" applyBorder="1" applyAlignment="1">
      <alignment horizontal="center" vertical="center"/>
    </xf>
    <xf numFmtId="3" fontId="18" fillId="0" borderId="888" xfId="1" applyNumberFormat="1" applyFont="1" applyBorder="1" applyAlignment="1">
      <alignment horizontal="center" vertical="center" wrapText="1"/>
    </xf>
    <xf numFmtId="0" fontId="18" fillId="0" borderId="888" xfId="1" applyFont="1" applyBorder="1" applyAlignment="1">
      <alignment horizontal="left" vertical="top" wrapText="1"/>
    </xf>
    <xf numFmtId="0" fontId="3" fillId="6" borderId="1196" xfId="1" applyFont="1" applyFill="1" applyBorder="1" applyAlignment="1">
      <alignment horizontal="center"/>
    </xf>
    <xf numFmtId="3" fontId="5" fillId="6" borderId="1353" xfId="1" applyNumberFormat="1" applyFont="1" applyFill="1" applyBorder="1" applyAlignment="1">
      <alignment horizontal="right" vertical="center" wrapText="1"/>
    </xf>
    <xf numFmtId="4" fontId="5" fillId="6" borderId="1353" xfId="1" applyNumberFormat="1" applyFont="1" applyFill="1" applyBorder="1" applyAlignment="1">
      <alignment horizontal="right" vertical="center" wrapText="1"/>
    </xf>
    <xf numFmtId="0" fontId="15" fillId="7" borderId="888" xfId="1" applyFont="1" applyFill="1" applyBorder="1" applyAlignment="1">
      <alignment horizontal="center" vertical="center"/>
    </xf>
    <xf numFmtId="4" fontId="14" fillId="7" borderId="1353" xfId="1" applyNumberFormat="1" applyFont="1" applyFill="1" applyBorder="1" applyAlignment="1">
      <alignment horizontal="right" vertical="center" wrapText="1"/>
    </xf>
    <xf numFmtId="0" fontId="14" fillId="7" borderId="1229" xfId="1" applyFont="1" applyFill="1" applyBorder="1" applyAlignment="1">
      <alignment horizontal="left" vertical="center" wrapText="1"/>
    </xf>
    <xf numFmtId="0" fontId="12" fillId="0" borderId="1196" xfId="1" applyFont="1" applyBorder="1" applyAlignment="1">
      <alignment horizontal="center" vertical="center"/>
    </xf>
    <xf numFmtId="3" fontId="12" fillId="0" borderId="1298" xfId="1" applyNumberFormat="1" applyFont="1" applyBorder="1" applyAlignment="1">
      <alignment horizontal="right" vertical="center" wrapText="1"/>
    </xf>
    <xf numFmtId="4" fontId="12" fillId="0" borderId="1196" xfId="1" applyNumberFormat="1" applyFont="1" applyBorder="1" applyAlignment="1">
      <alignment horizontal="right" vertical="center" wrapText="1"/>
    </xf>
    <xf numFmtId="4" fontId="12" fillId="0" borderId="1298" xfId="1" applyNumberFormat="1" applyFont="1" applyBorder="1" applyAlignment="1">
      <alignment horizontal="right" vertical="center" wrapText="1"/>
    </xf>
    <xf numFmtId="0" fontId="12" fillId="0" borderId="1362" xfId="1" applyFont="1" applyBorder="1" applyAlignment="1">
      <alignment horizontal="left" vertical="top" wrapText="1"/>
    </xf>
    <xf numFmtId="0" fontId="12" fillId="0" borderId="1283" xfId="1" applyFont="1" applyBorder="1" applyAlignment="1">
      <alignment horizontal="left" vertical="center" wrapText="1"/>
    </xf>
    <xf numFmtId="0" fontId="26" fillId="7" borderId="1230" xfId="1" applyFont="1" applyFill="1" applyBorder="1" applyAlignment="1">
      <alignment vertical="center" wrapText="1"/>
    </xf>
    <xf numFmtId="4" fontId="26" fillId="7" borderId="1353" xfId="1" applyNumberFormat="1" applyFont="1" applyFill="1" applyBorder="1" applyAlignment="1">
      <alignment horizontal="right" vertical="center"/>
    </xf>
    <xf numFmtId="0" fontId="20" fillId="7" borderId="1229" xfId="1" applyFont="1" applyFill="1" applyBorder="1" applyAlignment="1">
      <alignment horizontal="left" vertical="center" wrapText="1"/>
    </xf>
    <xf numFmtId="4" fontId="10" fillId="4" borderId="1365" xfId="1" applyNumberFormat="1" applyFont="1" applyFill="1" applyBorder="1" applyAlignment="1">
      <alignment horizontal="right" vertical="center" wrapText="1"/>
    </xf>
    <xf numFmtId="4" fontId="26" fillId="7" borderId="1365" xfId="1" applyNumberFormat="1" applyFont="1" applyFill="1" applyBorder="1" applyAlignment="1">
      <alignment horizontal="right" vertical="center"/>
    </xf>
    <xf numFmtId="3" fontId="15" fillId="7" borderId="1353" xfId="1" applyNumberFormat="1" applyFont="1" applyFill="1" applyBorder="1" applyAlignment="1">
      <alignment horizontal="right" vertical="center"/>
    </xf>
    <xf numFmtId="4" fontId="15" fillId="7" borderId="1353" xfId="1" applyNumberFormat="1" applyFont="1" applyFill="1" applyBorder="1" applyAlignment="1">
      <alignment horizontal="right" vertical="center"/>
    </xf>
    <xf numFmtId="4" fontId="12" fillId="0" borderId="1365" xfId="1" applyNumberFormat="1" applyFont="1" applyBorder="1" applyAlignment="1">
      <alignment horizontal="right" vertical="center" wrapText="1"/>
    </xf>
    <xf numFmtId="0" fontId="12" fillId="0" borderId="12" xfId="3" applyFont="1" applyBorder="1" applyAlignment="1">
      <alignment horizontal="left" vertical="top" wrapText="1"/>
    </xf>
    <xf numFmtId="0" fontId="32" fillId="7" borderId="888" xfId="1" applyFont="1" applyFill="1" applyBorder="1" applyAlignment="1">
      <alignment horizontal="center"/>
    </xf>
    <xf numFmtId="3" fontId="31" fillId="7" borderId="1230" xfId="1" applyNumberFormat="1" applyFont="1" applyFill="1" applyBorder="1" applyAlignment="1">
      <alignment horizontal="right" vertical="center" wrapText="1"/>
    </xf>
    <xf numFmtId="0" fontId="32" fillId="7" borderId="1229" xfId="1" applyFont="1" applyFill="1" applyBorder="1" applyAlignment="1">
      <alignment horizontal="left" vertical="center" wrapText="1"/>
    </xf>
    <xf numFmtId="0" fontId="30" fillId="0" borderId="1196" xfId="1" applyFont="1" applyBorder="1" applyAlignment="1">
      <alignment vertical="center"/>
    </xf>
    <xf numFmtId="0" fontId="30" fillId="0" borderId="831" xfId="1" applyFont="1" applyBorder="1" applyAlignment="1">
      <alignment vertical="center"/>
    </xf>
    <xf numFmtId="0" fontId="30" fillId="0" borderId="26" xfId="1" applyFont="1" applyBorder="1" applyAlignment="1">
      <alignment vertical="center"/>
    </xf>
    <xf numFmtId="0" fontId="30" fillId="0" borderId="26" xfId="1" applyFont="1" applyBorder="1" applyAlignment="1">
      <alignment vertical="center" wrapText="1"/>
    </xf>
    <xf numFmtId="0" fontId="18" fillId="0" borderId="26" xfId="1" applyFont="1" applyBorder="1" applyAlignment="1">
      <alignment horizontal="center" vertical="center"/>
    </xf>
    <xf numFmtId="3" fontId="18" fillId="0" borderId="26" xfId="1" applyNumberFormat="1" applyFont="1" applyBorder="1" applyAlignment="1">
      <alignment horizontal="center" vertical="center" wrapText="1"/>
    </xf>
    <xf numFmtId="4" fontId="18" fillId="0" borderId="26" xfId="1" applyNumberFormat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left" vertical="top" wrapText="1"/>
    </xf>
    <xf numFmtId="49" fontId="20" fillId="7" borderId="1365" xfId="1" applyNumberFormat="1" applyFont="1" applyFill="1" applyBorder="1" applyAlignment="1">
      <alignment horizontal="center" vertical="center"/>
    </xf>
    <xf numFmtId="0" fontId="20" fillId="7" borderId="13" xfId="1" applyFont="1" applyFill="1" applyBorder="1" applyAlignment="1">
      <alignment vertical="center" wrapText="1"/>
    </xf>
    <xf numFmtId="3" fontId="15" fillId="7" borderId="13" xfId="1" applyNumberFormat="1" applyFont="1" applyFill="1" applyBorder="1" applyAlignment="1">
      <alignment horizontal="right" vertical="center"/>
    </xf>
    <xf numFmtId="4" fontId="26" fillId="7" borderId="1" xfId="1" applyNumberFormat="1" applyFont="1" applyFill="1" applyBorder="1" applyAlignment="1">
      <alignment horizontal="right" vertical="center"/>
    </xf>
    <xf numFmtId="3" fontId="26" fillId="7" borderId="13" xfId="1" applyNumberFormat="1" applyFont="1" applyFill="1" applyBorder="1" applyAlignment="1">
      <alignment horizontal="right" vertical="center"/>
    </xf>
    <xf numFmtId="4" fontId="20" fillId="7" borderId="13" xfId="1" applyNumberFormat="1" applyFont="1" applyFill="1" applyBorder="1" applyAlignment="1">
      <alignment vertical="center" wrapText="1"/>
    </xf>
    <xf numFmtId="0" fontId="20" fillId="7" borderId="13" xfId="1" applyFont="1" applyFill="1" applyBorder="1" applyAlignment="1">
      <alignment horizontal="center" vertical="center"/>
    </xf>
    <xf numFmtId="0" fontId="5" fillId="6" borderId="888" xfId="1" applyFont="1" applyFill="1" applyBorder="1" applyAlignment="1">
      <alignment horizontal="center" vertical="center"/>
    </xf>
    <xf numFmtId="49" fontId="14" fillId="7" borderId="1353" xfId="1" applyNumberFormat="1" applyFont="1" applyFill="1" applyBorder="1" applyAlignment="1">
      <alignment horizontal="center" vertical="center"/>
    </xf>
    <xf numFmtId="3" fontId="14" fillId="7" borderId="888" xfId="1" applyNumberFormat="1" applyFont="1" applyFill="1" applyBorder="1" applyAlignment="1">
      <alignment horizontal="right" vertical="center"/>
    </xf>
    <xf numFmtId="4" fontId="14" fillId="7" borderId="888" xfId="1" applyNumberFormat="1" applyFont="1" applyFill="1" applyBorder="1" applyAlignment="1">
      <alignment horizontal="right" vertical="center"/>
    </xf>
    <xf numFmtId="4" fontId="14" fillId="7" borderId="1353" xfId="1" applyNumberFormat="1" applyFont="1" applyFill="1" applyBorder="1" applyAlignment="1">
      <alignment horizontal="right" vertical="center"/>
    </xf>
    <xf numFmtId="49" fontId="32" fillId="6" borderId="888" xfId="1" applyNumberFormat="1" applyFont="1" applyFill="1" applyBorder="1" applyAlignment="1">
      <alignment horizontal="center" vertical="center"/>
    </xf>
    <xf numFmtId="0" fontId="35" fillId="6" borderId="1230" xfId="1" applyFont="1" applyFill="1" applyBorder="1" applyAlignment="1">
      <alignment horizontal="center"/>
    </xf>
    <xf numFmtId="0" fontId="32" fillId="6" borderId="888" xfId="1" applyFont="1" applyFill="1" applyBorder="1" applyAlignment="1">
      <alignment vertical="center" wrapText="1"/>
    </xf>
    <xf numFmtId="4" fontId="32" fillId="6" borderId="888" xfId="1" applyNumberFormat="1" applyFont="1" applyFill="1" applyBorder="1" applyAlignment="1">
      <alignment horizontal="right" vertical="center" wrapText="1"/>
    </xf>
    <xf numFmtId="4" fontId="32" fillId="6" borderId="1353" xfId="1" applyNumberFormat="1" applyFont="1" applyFill="1" applyBorder="1" applyAlignment="1">
      <alignment horizontal="right" vertical="center" wrapText="1"/>
    </xf>
    <xf numFmtId="0" fontId="32" fillId="6" borderId="888" xfId="1" applyFont="1" applyFill="1" applyBorder="1" applyAlignment="1">
      <alignment horizontal="center" vertical="center"/>
    </xf>
    <xf numFmtId="49" fontId="20" fillId="7" borderId="1353" xfId="1" applyNumberFormat="1" applyFont="1" applyFill="1" applyBorder="1" applyAlignment="1">
      <alignment horizontal="center" vertical="center"/>
    </xf>
    <xf numFmtId="0" fontId="20" fillId="7" borderId="888" xfId="1" applyFont="1" applyFill="1" applyBorder="1" applyAlignment="1">
      <alignment vertical="center" wrapText="1"/>
    </xf>
    <xf numFmtId="3" fontId="15" fillId="7" borderId="888" xfId="1" applyNumberFormat="1" applyFont="1" applyFill="1" applyBorder="1" applyAlignment="1">
      <alignment horizontal="right" vertical="center"/>
    </xf>
    <xf numFmtId="3" fontId="26" fillId="7" borderId="888" xfId="1" applyNumberFormat="1" applyFont="1" applyFill="1" applyBorder="1" applyAlignment="1">
      <alignment horizontal="right" vertical="center"/>
    </xf>
    <xf numFmtId="4" fontId="20" fillId="7" borderId="888" xfId="1" applyNumberFormat="1" applyFont="1" applyFill="1" applyBorder="1" applyAlignment="1">
      <alignment vertical="center" wrapText="1"/>
    </xf>
    <xf numFmtId="4" fontId="20" fillId="7" borderId="1230" xfId="1" applyNumberFormat="1" applyFont="1" applyFill="1" applyBorder="1" applyAlignment="1">
      <alignment horizontal="right" vertical="center" wrapText="1"/>
    </xf>
    <xf numFmtId="4" fontId="20" fillId="7" borderId="888" xfId="1" applyNumberFormat="1" applyFont="1" applyFill="1" applyBorder="1" applyAlignment="1">
      <alignment horizontal="right" vertical="center" wrapText="1"/>
    </xf>
    <xf numFmtId="0" fontId="20" fillId="7" borderId="888" xfId="1" applyFont="1" applyFill="1" applyBorder="1" applyAlignment="1">
      <alignment horizontal="center" vertical="center"/>
    </xf>
    <xf numFmtId="3" fontId="33" fillId="7" borderId="888" xfId="1" applyNumberFormat="1" applyFont="1" applyFill="1" applyBorder="1" applyAlignment="1">
      <alignment horizontal="right" vertical="center"/>
    </xf>
    <xf numFmtId="4" fontId="33" fillId="7" borderId="1230" xfId="1" applyNumberFormat="1" applyFont="1" applyFill="1" applyBorder="1" applyAlignment="1">
      <alignment horizontal="right" vertical="center"/>
    </xf>
    <xf numFmtId="3" fontId="33" fillId="7" borderId="1230" xfId="1" applyNumberFormat="1" applyFont="1" applyFill="1" applyBorder="1" applyAlignment="1">
      <alignment horizontal="right" vertical="center"/>
    </xf>
    <xf numFmtId="4" fontId="31" fillId="7" borderId="888" xfId="1" applyNumberFormat="1" applyFont="1" applyFill="1" applyBorder="1" applyAlignment="1">
      <alignment vertical="center" wrapText="1"/>
    </xf>
    <xf numFmtId="4" fontId="31" fillId="7" borderId="1230" xfId="1" applyNumberFormat="1" applyFont="1" applyFill="1" applyBorder="1" applyAlignment="1">
      <alignment horizontal="right" vertical="center" wrapText="1"/>
    </xf>
    <xf numFmtId="49" fontId="18" fillId="4" borderId="1" xfId="1" applyNumberFormat="1" applyFont="1" applyFill="1" applyBorder="1" applyAlignment="1">
      <alignment horizontal="center" vertical="center"/>
    </xf>
    <xf numFmtId="49" fontId="18" fillId="4" borderId="13" xfId="1" applyNumberFormat="1" applyFont="1" applyFill="1" applyBorder="1" applyAlignment="1">
      <alignment horizontal="left" vertical="center" wrapText="1"/>
    </xf>
    <xf numFmtId="4" fontId="18" fillId="4" borderId="1" xfId="1" applyNumberFormat="1" applyFont="1" applyFill="1" applyBorder="1" applyAlignment="1">
      <alignment horizontal="right" vertical="center" wrapText="1"/>
    </xf>
    <xf numFmtId="49" fontId="5" fillId="4" borderId="1210" xfId="1" applyNumberFormat="1" applyFont="1" applyFill="1" applyBorder="1" applyAlignment="1">
      <alignment vertical="center"/>
    </xf>
    <xf numFmtId="49" fontId="5" fillId="5" borderId="831" xfId="1" applyNumberFormat="1" applyFont="1" applyFill="1" applyBorder="1" applyAlignment="1">
      <alignment horizontal="center" vertical="center"/>
    </xf>
    <xf numFmtId="49" fontId="5" fillId="5" borderId="831" xfId="1" applyNumberFormat="1" applyFont="1" applyFill="1" applyBorder="1" applyAlignment="1">
      <alignment horizontal="left" vertical="center" wrapText="1"/>
    </xf>
    <xf numFmtId="49" fontId="5" fillId="5" borderId="166" xfId="1" applyNumberFormat="1" applyFont="1" applyFill="1" applyBorder="1" applyAlignment="1">
      <alignment horizontal="center" vertical="center"/>
    </xf>
    <xf numFmtId="3" fontId="5" fillId="5" borderId="831" xfId="1" applyNumberFormat="1" applyFont="1" applyFill="1" applyBorder="1" applyAlignment="1">
      <alignment horizontal="right" vertical="center" wrapText="1"/>
    </xf>
    <xf numFmtId="4" fontId="5" fillId="5" borderId="166" xfId="1" applyNumberFormat="1" applyFont="1" applyFill="1" applyBorder="1" applyAlignment="1">
      <alignment horizontal="right" vertical="center" wrapText="1"/>
    </xf>
    <xf numFmtId="3" fontId="5" fillId="5" borderId="166" xfId="1" applyNumberFormat="1" applyFont="1" applyFill="1" applyBorder="1" applyAlignment="1">
      <alignment horizontal="right" vertical="center" wrapText="1"/>
    </xf>
    <xf numFmtId="4" fontId="5" fillId="5" borderId="831" xfId="1" applyNumberFormat="1" applyFont="1" applyFill="1" applyBorder="1" applyAlignment="1">
      <alignment horizontal="right" vertical="center" wrapText="1"/>
    </xf>
    <xf numFmtId="0" fontId="5" fillId="2" borderId="888" xfId="1" applyFont="1" applyFill="1" applyBorder="1" applyAlignment="1">
      <alignment horizontal="center" vertical="center" wrapText="1"/>
    </xf>
    <xf numFmtId="0" fontId="5" fillId="2" borderId="1230" xfId="1" applyFont="1" applyFill="1" applyBorder="1" applyAlignment="1">
      <alignment horizontal="center" vertical="center"/>
    </xf>
    <xf numFmtId="0" fontId="5" fillId="2" borderId="1361" xfId="1" applyFont="1" applyFill="1" applyBorder="1" applyAlignment="1">
      <alignment horizontal="center" vertical="center" wrapText="1"/>
    </xf>
    <xf numFmtId="0" fontId="5" fillId="2" borderId="1196" xfId="1" applyFont="1" applyFill="1" applyBorder="1" applyAlignment="1">
      <alignment horizontal="center" vertical="center" wrapText="1"/>
    </xf>
    <xf numFmtId="49" fontId="5" fillId="3" borderId="1353" xfId="1" applyNumberFormat="1" applyFont="1" applyFill="1" applyBorder="1" applyAlignment="1">
      <alignment horizontal="center" vertical="center"/>
    </xf>
    <xf numFmtId="0" fontId="12" fillId="3" borderId="888" xfId="1" applyFont="1" applyFill="1" applyBorder="1" applyAlignment="1">
      <alignment horizontal="center"/>
    </xf>
    <xf numFmtId="0" fontId="5" fillId="3" borderId="888" xfId="1" applyFont="1" applyFill="1" applyBorder="1" applyAlignment="1">
      <alignment vertical="center" wrapText="1"/>
    </xf>
    <xf numFmtId="0" fontId="10" fillId="3" borderId="1230" xfId="1" applyFont="1" applyFill="1" applyBorder="1" applyAlignment="1">
      <alignment horizontal="center"/>
    </xf>
    <xf numFmtId="3" fontId="5" fillId="3" borderId="888" xfId="1" applyNumberFormat="1" applyFont="1" applyFill="1" applyBorder="1" applyAlignment="1">
      <alignment horizontal="right" vertical="center" wrapText="1"/>
    </xf>
    <xf numFmtId="4" fontId="5" fillId="3" borderId="1230" xfId="1" applyNumberFormat="1" applyFont="1" applyFill="1" applyBorder="1" applyAlignment="1">
      <alignment horizontal="right" vertical="center" wrapText="1"/>
    </xf>
    <xf numFmtId="3" fontId="7" fillId="3" borderId="888" xfId="1" applyNumberFormat="1" applyFont="1" applyFill="1" applyBorder="1" applyAlignment="1">
      <alignment horizontal="right" vertical="center" wrapText="1"/>
    </xf>
    <xf numFmtId="3" fontId="5" fillId="3" borderId="1230" xfId="1" applyNumberFormat="1" applyFont="1" applyFill="1" applyBorder="1" applyAlignment="1">
      <alignment horizontal="right" vertical="center" wrapText="1"/>
    </xf>
    <xf numFmtId="4" fontId="5" fillId="3" borderId="888" xfId="1" applyNumberFormat="1" applyFont="1" applyFill="1" applyBorder="1" applyAlignment="1">
      <alignment horizontal="right" vertical="center" wrapText="1"/>
    </xf>
    <xf numFmtId="0" fontId="5" fillId="5" borderId="831" xfId="1" applyFont="1" applyFill="1" applyBorder="1" applyAlignment="1">
      <alignment vertical="center" wrapText="1"/>
    </xf>
    <xf numFmtId="49" fontId="7" fillId="5" borderId="166" xfId="1" applyNumberFormat="1" applyFont="1" applyFill="1" applyBorder="1" applyAlignment="1">
      <alignment horizontal="center" vertical="center"/>
    </xf>
    <xf numFmtId="3" fontId="5" fillId="5" borderId="831" xfId="1" applyNumberFormat="1" applyFont="1" applyFill="1" applyBorder="1" applyAlignment="1">
      <alignment horizontal="right" vertical="center"/>
    </xf>
    <xf numFmtId="4" fontId="5" fillId="5" borderId="166" xfId="1" applyNumberFormat="1" applyFont="1" applyFill="1" applyBorder="1" applyAlignment="1">
      <alignment horizontal="right" vertical="center"/>
    </xf>
    <xf numFmtId="3" fontId="5" fillId="5" borderId="166" xfId="1" applyNumberFormat="1" applyFont="1" applyFill="1" applyBorder="1" applyAlignment="1">
      <alignment horizontal="right" vertical="center"/>
    </xf>
    <xf numFmtId="4" fontId="5" fillId="5" borderId="831" xfId="1" applyNumberFormat="1" applyFont="1" applyFill="1" applyBorder="1" applyAlignment="1">
      <alignment horizontal="right" vertical="center"/>
    </xf>
    <xf numFmtId="49" fontId="12" fillId="4" borderId="1363" xfId="1" applyNumberFormat="1" applyFont="1" applyFill="1" applyBorder="1" applyAlignment="1">
      <alignment horizontal="center" vertical="center"/>
    </xf>
    <xf numFmtId="3" fontId="12" fillId="4" borderId="1311" xfId="1" applyNumberFormat="1" applyFont="1" applyFill="1" applyBorder="1" applyAlignment="1">
      <alignment vertical="center"/>
    </xf>
    <xf numFmtId="4" fontId="12" fillId="4" borderId="1363" xfId="1" applyNumberFormat="1" applyFont="1" applyFill="1" applyBorder="1" applyAlignment="1">
      <alignment vertical="center"/>
    </xf>
    <xf numFmtId="4" fontId="12" fillId="4" borderId="454" xfId="1" applyNumberFormat="1" applyFont="1" applyFill="1" applyBorder="1" applyAlignment="1">
      <alignment vertical="center"/>
    </xf>
    <xf numFmtId="4" fontId="12" fillId="4" borderId="269" xfId="1" applyNumberFormat="1" applyFont="1" applyFill="1" applyBorder="1" applyAlignment="1">
      <alignment horizontal="right" vertical="center"/>
    </xf>
    <xf numFmtId="4" fontId="12" fillId="4" borderId="454" xfId="1" applyNumberFormat="1" applyFont="1" applyFill="1" applyBorder="1" applyAlignment="1">
      <alignment horizontal="right" vertical="center"/>
    </xf>
    <xf numFmtId="49" fontId="12" fillId="4" borderId="166" xfId="1" applyNumberFormat="1" applyFont="1" applyFill="1" applyBorder="1" applyAlignment="1">
      <alignment horizontal="center" vertical="center"/>
    </xf>
    <xf numFmtId="49" fontId="10" fillId="4" borderId="166" xfId="1" applyNumberFormat="1" applyFont="1" applyFill="1" applyBorder="1" applyAlignment="1">
      <alignment horizontal="center" vertical="center"/>
    </xf>
    <xf numFmtId="3" fontId="10" fillId="4" borderId="1311" xfId="1" applyNumberFormat="1" applyFont="1" applyFill="1" applyBorder="1" applyAlignment="1">
      <alignment vertical="center"/>
    </xf>
    <xf numFmtId="4" fontId="10" fillId="4" borderId="1363" xfId="1" applyNumberFormat="1" applyFont="1" applyFill="1" applyBorder="1" applyAlignment="1">
      <alignment vertical="center"/>
    </xf>
    <xf numFmtId="49" fontId="12" fillId="3" borderId="888" xfId="1" applyNumberFormat="1" applyFont="1" applyFill="1" applyBorder="1" applyAlignment="1">
      <alignment horizontal="center" vertical="center"/>
    </xf>
    <xf numFmtId="49" fontId="5" fillId="3" borderId="888" xfId="1" applyNumberFormat="1" applyFont="1" applyFill="1" applyBorder="1" applyAlignment="1">
      <alignment horizontal="left" vertical="center" wrapText="1"/>
    </xf>
    <xf numFmtId="49" fontId="12" fillId="3" borderId="1230" xfId="1" applyNumberFormat="1" applyFont="1" applyFill="1" applyBorder="1" applyAlignment="1">
      <alignment horizontal="center" vertical="center"/>
    </xf>
    <xf numFmtId="49" fontId="5" fillId="0" borderId="1210" xfId="1" applyNumberFormat="1" applyFont="1" applyBorder="1" applyAlignment="1">
      <alignment vertical="center"/>
    </xf>
    <xf numFmtId="49" fontId="7" fillId="0" borderId="1210" xfId="1" applyNumberFormat="1" applyFont="1" applyBorder="1" applyAlignment="1">
      <alignment vertical="center"/>
    </xf>
    <xf numFmtId="49" fontId="10" fillId="4" borderId="454" xfId="1" applyNumberFormat="1" applyFont="1" applyFill="1" applyBorder="1" applyAlignment="1">
      <alignment horizontal="center" vertical="center"/>
    </xf>
    <xf numFmtId="49" fontId="10" fillId="4" borderId="454" xfId="1" applyNumberFormat="1" applyFont="1" applyFill="1" applyBorder="1" applyAlignment="1">
      <alignment horizontal="center" vertical="center" wrapText="1"/>
    </xf>
    <xf numFmtId="3" fontId="12" fillId="4" borderId="269" xfId="1" applyNumberFormat="1" applyFont="1" applyFill="1" applyBorder="1" applyAlignment="1">
      <alignment horizontal="right" vertical="center"/>
    </xf>
    <xf numFmtId="49" fontId="7" fillId="0" borderId="1210" xfId="1" applyNumberFormat="1" applyFont="1" applyBorder="1" applyAlignment="1">
      <alignment horizontal="center" vertical="center"/>
    </xf>
    <xf numFmtId="3" fontId="12" fillId="4" borderId="1311" xfId="1" applyNumberFormat="1" applyFont="1" applyFill="1" applyBorder="1" applyAlignment="1">
      <alignment horizontal="right" vertical="center" wrapText="1"/>
    </xf>
    <xf numFmtId="4" fontId="12" fillId="4" borderId="1363" xfId="1" applyNumberFormat="1" applyFont="1" applyFill="1" applyBorder="1" applyAlignment="1">
      <alignment horizontal="right" vertical="center" wrapText="1"/>
    </xf>
    <xf numFmtId="3" fontId="12" fillId="4" borderId="1363" xfId="1" applyNumberFormat="1" applyFont="1" applyFill="1" applyBorder="1" applyAlignment="1">
      <alignment horizontal="right" vertical="center"/>
    </xf>
    <xf numFmtId="49" fontId="5" fillId="5" borderId="1311" xfId="1" applyNumberFormat="1" applyFont="1" applyFill="1" applyBorder="1" applyAlignment="1">
      <alignment horizontal="center" vertical="center"/>
    </xf>
    <xf numFmtId="49" fontId="5" fillId="5" borderId="1311" xfId="1" applyNumberFormat="1" applyFont="1" applyFill="1" applyBorder="1" applyAlignment="1">
      <alignment horizontal="left" vertical="center" wrapText="1"/>
    </xf>
    <xf numFmtId="49" fontId="5" fillId="5" borderId="1363" xfId="1" applyNumberFormat="1" applyFont="1" applyFill="1" applyBorder="1" applyAlignment="1">
      <alignment horizontal="center" vertical="center"/>
    </xf>
    <xf numFmtId="3" fontId="5" fillId="5" borderId="1311" xfId="1" applyNumberFormat="1" applyFont="1" applyFill="1" applyBorder="1" applyAlignment="1">
      <alignment horizontal="right" vertical="center"/>
    </xf>
    <xf numFmtId="4" fontId="5" fillId="5" borderId="1363" xfId="1" applyNumberFormat="1" applyFont="1" applyFill="1" applyBorder="1" applyAlignment="1">
      <alignment horizontal="right" vertical="center"/>
    </xf>
    <xf numFmtId="3" fontId="5" fillId="5" borderId="1363" xfId="1" applyNumberFormat="1" applyFont="1" applyFill="1" applyBorder="1" applyAlignment="1">
      <alignment horizontal="right" vertical="center"/>
    </xf>
    <xf numFmtId="4" fontId="5" fillId="5" borderId="1311" xfId="1" applyNumberFormat="1" applyFont="1" applyFill="1" applyBorder="1" applyAlignment="1">
      <alignment horizontal="right" vertical="center"/>
    </xf>
    <xf numFmtId="49" fontId="12" fillId="4" borderId="454" xfId="1" applyNumberFormat="1" applyFont="1" applyFill="1" applyBorder="1" applyAlignment="1">
      <alignment horizontal="center" vertical="center"/>
    </xf>
    <xf numFmtId="49" fontId="12" fillId="4" borderId="454" xfId="1" applyNumberFormat="1" applyFont="1" applyFill="1" applyBorder="1" applyAlignment="1">
      <alignment horizontal="center" vertical="center" wrapText="1"/>
    </xf>
    <xf numFmtId="49" fontId="5" fillId="4" borderId="1210" xfId="1" applyNumberFormat="1" applyFont="1" applyFill="1" applyBorder="1" applyAlignment="1">
      <alignment horizontal="center" vertical="center"/>
    </xf>
    <xf numFmtId="3" fontId="5" fillId="5" borderId="1245" xfId="1" applyNumberFormat="1" applyFont="1" applyFill="1" applyBorder="1" applyAlignment="1">
      <alignment horizontal="right" vertical="center" wrapText="1"/>
    </xf>
    <xf numFmtId="4" fontId="5" fillId="5" borderId="1245" xfId="1" applyNumberFormat="1" applyFont="1" applyFill="1" applyBorder="1" applyAlignment="1">
      <alignment horizontal="right" vertical="center" wrapText="1"/>
    </xf>
    <xf numFmtId="49" fontId="5" fillId="4" borderId="1365" xfId="1" applyNumberFormat="1" applyFont="1" applyFill="1" applyBorder="1" applyAlignment="1">
      <alignment horizontal="center" vertical="center"/>
    </xf>
    <xf numFmtId="49" fontId="12" fillId="0" borderId="1358" xfId="1" applyNumberFormat="1" applyFont="1" applyFill="1" applyBorder="1" applyAlignment="1">
      <alignment horizontal="center" vertical="center"/>
    </xf>
    <xf numFmtId="4" fontId="12" fillId="0" borderId="1358" xfId="1" applyNumberFormat="1" applyFont="1" applyFill="1" applyBorder="1" applyAlignment="1">
      <alignment horizontal="right" vertical="center" wrapText="1"/>
    </xf>
    <xf numFmtId="3" fontId="12" fillId="4" borderId="1358" xfId="1" applyNumberFormat="1" applyFont="1" applyFill="1" applyBorder="1" applyAlignment="1">
      <alignment vertical="center" wrapText="1"/>
    </xf>
    <xf numFmtId="4" fontId="12" fillId="4" borderId="1358" xfId="1" applyNumberFormat="1" applyFont="1" applyFill="1" applyBorder="1" applyAlignment="1">
      <alignment vertical="center" wrapText="1"/>
    </xf>
    <xf numFmtId="49" fontId="5" fillId="4" borderId="1298" xfId="1" applyNumberFormat="1" applyFont="1" applyFill="1" applyBorder="1" applyAlignment="1">
      <alignment vertical="center"/>
    </xf>
    <xf numFmtId="49" fontId="5" fillId="5" borderId="1245" xfId="1" applyNumberFormat="1" applyFont="1" applyFill="1" applyBorder="1" applyAlignment="1">
      <alignment horizontal="center" vertical="center"/>
    </xf>
    <xf numFmtId="49" fontId="5" fillId="5" borderId="1245" xfId="1" applyNumberFormat="1" applyFont="1" applyFill="1" applyBorder="1" applyAlignment="1">
      <alignment horizontal="left" vertical="center" wrapText="1"/>
    </xf>
    <xf numFmtId="49" fontId="5" fillId="5" borderId="1366" xfId="1" applyNumberFormat="1" applyFont="1" applyFill="1" applyBorder="1" applyAlignment="1">
      <alignment horizontal="center" vertical="center"/>
    </xf>
    <xf numFmtId="4" fontId="5" fillId="5" borderId="1366" xfId="1" applyNumberFormat="1" applyFont="1" applyFill="1" applyBorder="1" applyAlignment="1">
      <alignment horizontal="right" vertical="center" wrapText="1"/>
    </xf>
    <xf numFmtId="3" fontId="5" fillId="5" borderId="1366" xfId="1" applyNumberFormat="1" applyFont="1" applyFill="1" applyBorder="1" applyAlignment="1">
      <alignment horizontal="right" vertical="center" wrapText="1"/>
    </xf>
    <xf numFmtId="49" fontId="5" fillId="0" borderId="1210" xfId="1" applyNumberFormat="1" applyFont="1" applyFill="1" applyBorder="1" applyAlignment="1">
      <alignment horizontal="center" vertical="center"/>
    </xf>
    <xf numFmtId="3" fontId="12" fillId="4" borderId="1358" xfId="1" applyNumberFormat="1" applyFont="1" applyFill="1" applyBorder="1" applyAlignment="1">
      <alignment horizontal="right" vertical="center" wrapText="1"/>
    </xf>
    <xf numFmtId="4" fontId="12" fillId="4" borderId="1358" xfId="1" applyNumberFormat="1" applyFont="1" applyFill="1" applyBorder="1" applyAlignment="1">
      <alignment horizontal="right" vertical="center"/>
    </xf>
    <xf numFmtId="49" fontId="5" fillId="3" borderId="1230" xfId="1" applyNumberFormat="1" applyFont="1" applyFill="1" applyBorder="1" applyAlignment="1">
      <alignment horizontal="center" vertical="center"/>
    </xf>
    <xf numFmtId="49" fontId="12" fillId="0" borderId="1358" xfId="1" applyNumberFormat="1" applyFont="1" applyBorder="1" applyAlignment="1">
      <alignment horizontal="center" vertical="center"/>
    </xf>
    <xf numFmtId="4" fontId="12" fillId="0" borderId="1358" xfId="1" applyNumberFormat="1" applyFont="1" applyBorder="1" applyAlignment="1">
      <alignment horizontal="right" vertical="center" wrapText="1"/>
    </xf>
    <xf numFmtId="3" fontId="12" fillId="0" borderId="1358" xfId="1" applyNumberFormat="1" applyFont="1" applyBorder="1" applyAlignment="1">
      <alignment horizontal="right" vertical="center" wrapText="1"/>
    </xf>
    <xf numFmtId="3" fontId="5" fillId="5" borderId="1311" xfId="1" applyNumberFormat="1" applyFont="1" applyFill="1" applyBorder="1" applyAlignment="1">
      <alignment horizontal="right" vertical="center" wrapText="1"/>
    </xf>
    <xf numFmtId="4" fontId="5" fillId="5" borderId="1363" xfId="1" applyNumberFormat="1" applyFont="1" applyFill="1" applyBorder="1" applyAlignment="1">
      <alignment horizontal="right" vertical="center" wrapText="1"/>
    </xf>
    <xf numFmtId="3" fontId="5" fillId="5" borderId="1363" xfId="1" applyNumberFormat="1" applyFont="1" applyFill="1" applyBorder="1" applyAlignment="1">
      <alignment horizontal="right" vertical="center" wrapText="1"/>
    </xf>
    <xf numFmtId="4" fontId="5" fillId="5" borderId="1311" xfId="1" applyNumberFormat="1" applyFont="1" applyFill="1" applyBorder="1" applyAlignment="1">
      <alignment horizontal="right" vertical="center" wrapText="1"/>
    </xf>
    <xf numFmtId="49" fontId="5" fillId="3" borderId="888" xfId="1" applyNumberFormat="1" applyFont="1" applyFill="1" applyBorder="1" applyAlignment="1">
      <alignment horizontal="center" vertical="center"/>
    </xf>
    <xf numFmtId="49" fontId="7" fillId="3" borderId="1230" xfId="1" applyNumberFormat="1" applyFont="1" applyFill="1" applyBorder="1" applyAlignment="1">
      <alignment horizontal="center" vertical="center"/>
    </xf>
    <xf numFmtId="0" fontId="10" fillId="4" borderId="1362" xfId="1" applyFont="1" applyFill="1" applyBorder="1" applyAlignment="1">
      <alignment vertical="center" wrapText="1"/>
    </xf>
    <xf numFmtId="49" fontId="10" fillId="4" borderId="454" xfId="1" applyNumberFormat="1" applyFont="1" applyFill="1" applyBorder="1" applyAlignment="1">
      <alignment vertical="center"/>
    </xf>
    <xf numFmtId="4" fontId="12" fillId="0" borderId="1363" xfId="1" applyNumberFormat="1" applyFont="1" applyFill="1" applyBorder="1" applyAlignment="1">
      <alignment horizontal="right" vertical="center" wrapText="1"/>
    </xf>
    <xf numFmtId="3" fontId="12" fillId="4" borderId="269" xfId="1" applyNumberFormat="1" applyFont="1" applyFill="1" applyBorder="1" applyAlignment="1">
      <alignment horizontal="right" vertical="center" wrapText="1"/>
    </xf>
    <xf numFmtId="49" fontId="10" fillId="4" borderId="1363" xfId="1" applyNumberFormat="1" applyFont="1" applyFill="1" applyBorder="1" applyAlignment="1">
      <alignment horizontal="center" vertical="center"/>
    </xf>
    <xf numFmtId="0" fontId="5" fillId="5" borderId="1311" xfId="1" applyFont="1" applyFill="1" applyBorder="1" applyAlignment="1">
      <alignment vertical="center" wrapText="1"/>
    </xf>
    <xf numFmtId="4" fontId="12" fillId="4" borderId="831" xfId="1" applyNumberFormat="1" applyFont="1" applyFill="1" applyBorder="1" applyAlignment="1">
      <alignment horizontal="right" vertical="center" wrapText="1"/>
    </xf>
    <xf numFmtId="4" fontId="12" fillId="4" borderId="166" xfId="1" applyNumberFormat="1" applyFont="1" applyFill="1" applyBorder="1" applyAlignment="1">
      <alignment horizontal="right" vertical="center" wrapText="1"/>
    </xf>
    <xf numFmtId="4" fontId="5" fillId="5" borderId="831" xfId="1" applyNumberFormat="1" applyFont="1" applyFill="1" applyBorder="1" applyAlignment="1">
      <alignment vertical="center" wrapText="1"/>
    </xf>
    <xf numFmtId="3" fontId="12" fillId="4" borderId="831" xfId="1" applyNumberFormat="1" applyFont="1" applyFill="1" applyBorder="1" applyAlignment="1">
      <alignment horizontal="right" vertical="center"/>
    </xf>
    <xf numFmtId="1" fontId="12" fillId="4" borderId="831" xfId="1" applyNumberFormat="1" applyFont="1" applyFill="1" applyBorder="1" applyAlignment="1">
      <alignment horizontal="center" vertical="center"/>
    </xf>
    <xf numFmtId="3" fontId="12" fillId="4" borderId="166" xfId="1" applyNumberFormat="1" applyFont="1" applyFill="1" applyBorder="1" applyAlignment="1">
      <alignment horizontal="right" vertical="center"/>
    </xf>
    <xf numFmtId="4" fontId="12" fillId="4" borderId="831" xfId="1" applyNumberFormat="1" applyFont="1" applyFill="1" applyBorder="1" applyAlignment="1">
      <alignment vertical="center" wrapText="1"/>
    </xf>
    <xf numFmtId="49" fontId="5" fillId="2" borderId="1353" xfId="1" applyNumberFormat="1" applyFont="1" applyFill="1" applyBorder="1" applyAlignment="1">
      <alignment horizontal="center" vertical="center"/>
    </xf>
    <xf numFmtId="4" fontId="5" fillId="2" borderId="1230" xfId="1" applyNumberFormat="1" applyFont="1" applyFill="1" applyBorder="1" applyAlignment="1">
      <alignment horizontal="right" vertical="center"/>
    </xf>
    <xf numFmtId="3" fontId="5" fillId="2" borderId="888" xfId="1" applyNumberFormat="1" applyFont="1" applyFill="1" applyBorder="1" applyAlignment="1">
      <alignment horizontal="center" vertical="center"/>
    </xf>
    <xf numFmtId="3" fontId="5" fillId="2" borderId="1230" xfId="1" applyNumberFormat="1" applyFont="1" applyFill="1" applyBorder="1" applyAlignment="1">
      <alignment horizontal="right" vertical="center"/>
    </xf>
    <xf numFmtId="0" fontId="12" fillId="2" borderId="1229" xfId="1" applyFont="1" applyFill="1" applyBorder="1" applyAlignment="1">
      <alignment horizontal="center" vertical="center" wrapText="1"/>
    </xf>
    <xf numFmtId="0" fontId="16" fillId="0" borderId="0" xfId="13"/>
    <xf numFmtId="0" fontId="93" fillId="0" borderId="0" xfId="13" applyFont="1"/>
    <xf numFmtId="0" fontId="5" fillId="0" borderId="0" xfId="13" applyFont="1" applyAlignment="1">
      <alignment wrapText="1"/>
    </xf>
    <xf numFmtId="0" fontId="43" fillId="0" borderId="0" xfId="1" applyFont="1" applyAlignment="1">
      <alignment horizontal="right"/>
    </xf>
    <xf numFmtId="0" fontId="32" fillId="2" borderId="1353" xfId="13" applyFont="1" applyFill="1" applyBorder="1" applyAlignment="1">
      <alignment horizontal="center" vertical="center"/>
    </xf>
    <xf numFmtId="0" fontId="32" fillId="2" borderId="888" xfId="13" applyFont="1" applyFill="1" applyBorder="1" applyAlignment="1">
      <alignment horizontal="center" vertical="center"/>
    </xf>
    <xf numFmtId="0" fontId="32" fillId="2" borderId="1230" xfId="13" applyFont="1" applyFill="1" applyBorder="1" applyAlignment="1">
      <alignment horizontal="center" vertical="center"/>
    </xf>
    <xf numFmtId="0" fontId="32" fillId="2" borderId="888" xfId="13" applyFont="1" applyFill="1" applyBorder="1" applyAlignment="1">
      <alignment horizontal="center" vertical="center" wrapText="1"/>
    </xf>
    <xf numFmtId="0" fontId="30" fillId="0" borderId="974" xfId="13" applyFont="1" applyBorder="1" applyAlignment="1">
      <alignment horizontal="center" vertical="center"/>
    </xf>
    <xf numFmtId="0" fontId="30" fillId="0" borderId="831" xfId="13" applyFont="1" applyBorder="1" applyAlignment="1">
      <alignment horizontal="center" vertical="center"/>
    </xf>
    <xf numFmtId="0" fontId="30" fillId="0" borderId="1314" xfId="13" applyFont="1" applyBorder="1" applyAlignment="1">
      <alignment horizontal="center" vertical="center"/>
    </xf>
    <xf numFmtId="0" fontId="43" fillId="0" borderId="1354" xfId="14" applyFont="1" applyBorder="1" applyAlignment="1">
      <alignment horizontal="left" vertical="center"/>
    </xf>
    <xf numFmtId="3" fontId="43" fillId="0" borderId="1311" xfId="14" applyNumberFormat="1" applyFont="1" applyBorder="1" applyAlignment="1">
      <alignment vertical="center" wrapText="1"/>
    </xf>
    <xf numFmtId="4" fontId="55" fillId="0" borderId="1363" xfId="14" applyNumberFormat="1" applyFont="1" applyBorder="1" applyAlignment="1">
      <alignment horizontal="right" vertical="center"/>
    </xf>
    <xf numFmtId="4" fontId="10" fillId="0" borderId="1311" xfId="4" applyNumberFormat="1" applyFont="1" applyBorder="1" applyAlignment="1">
      <alignment horizontal="right" vertical="center"/>
    </xf>
    <xf numFmtId="0" fontId="12" fillId="0" borderId="1354" xfId="13" applyFont="1" applyBorder="1" applyAlignment="1">
      <alignment horizontal="left" vertical="center"/>
    </xf>
    <xf numFmtId="3" fontId="12" fillId="0" borderId="1311" xfId="13" applyNumberFormat="1" applyFont="1" applyBorder="1" applyAlignment="1">
      <alignment vertical="center" wrapText="1"/>
    </xf>
    <xf numFmtId="4" fontId="12" fillId="0" borderId="1363" xfId="13" applyNumberFormat="1" applyFont="1" applyBorder="1" applyAlignment="1">
      <alignment horizontal="right" vertical="center"/>
    </xf>
    <xf numFmtId="2" fontId="12" fillId="0" borderId="1311" xfId="13" applyNumberFormat="1" applyFont="1" applyBorder="1" applyAlignment="1">
      <alignment horizontal="right" vertical="center"/>
    </xf>
    <xf numFmtId="0" fontId="12" fillId="0" borderId="1350" xfId="14" applyFont="1" applyBorder="1" applyAlignment="1">
      <alignment horizontal="left" vertical="center" wrapText="1"/>
    </xf>
    <xf numFmtId="0" fontId="12" fillId="0" borderId="1311" xfId="8" applyFont="1" applyBorder="1" applyAlignment="1">
      <alignment horizontal="left" vertical="center" wrapText="1"/>
    </xf>
    <xf numFmtId="4" fontId="16" fillId="0" borderId="0" xfId="13" applyNumberFormat="1"/>
    <xf numFmtId="3" fontId="16" fillId="0" borderId="0" xfId="13" applyNumberFormat="1"/>
    <xf numFmtId="0" fontId="5" fillId="2" borderId="1353" xfId="13" applyFont="1" applyFill="1" applyBorder="1" applyAlignment="1">
      <alignment horizontal="center" vertical="center"/>
    </xf>
    <xf numFmtId="3" fontId="5" fillId="2" borderId="888" xfId="13" applyNumberFormat="1" applyFont="1" applyFill="1" applyBorder="1" applyAlignment="1">
      <alignment horizontal="right" vertical="center"/>
    </xf>
    <xf numFmtId="4" fontId="5" fillId="2" borderId="888" xfId="13" applyNumberFormat="1" applyFont="1" applyFill="1" applyBorder="1" applyAlignment="1">
      <alignment horizontal="right" vertical="center"/>
    </xf>
    <xf numFmtId="0" fontId="95" fillId="0" borderId="0" xfId="13" applyFont="1"/>
    <xf numFmtId="0" fontId="5" fillId="2" borderId="1230" xfId="13" applyFont="1" applyFill="1" applyBorder="1" applyAlignment="1">
      <alignment horizontal="center" vertical="center"/>
    </xf>
    <xf numFmtId="0" fontId="5" fillId="2" borderId="888" xfId="13" applyFont="1" applyFill="1" applyBorder="1" applyAlignment="1">
      <alignment horizontal="center" vertical="center" wrapText="1"/>
    </xf>
    <xf numFmtId="0" fontId="17" fillId="0" borderId="1314" xfId="13" applyFont="1" applyBorder="1" applyAlignment="1">
      <alignment horizontal="center" vertical="center"/>
    </xf>
    <xf numFmtId="0" fontId="17" fillId="0" borderId="831" xfId="13" applyFont="1" applyBorder="1" applyAlignment="1">
      <alignment horizontal="center" vertical="center"/>
    </xf>
    <xf numFmtId="3" fontId="12" fillId="0" borderId="1311" xfId="13" applyNumberFormat="1" applyFont="1" applyBorder="1" applyAlignment="1">
      <alignment horizontal="right" vertical="center"/>
    </xf>
    <xf numFmtId="4" fontId="12" fillId="0" borderId="1363" xfId="13" applyNumberFormat="1" applyFont="1" applyBorder="1" applyAlignment="1">
      <alignment vertical="center" wrapText="1"/>
    </xf>
    <xf numFmtId="4" fontId="12" fillId="0" borderId="1311" xfId="13" applyNumberFormat="1" applyFont="1" applyBorder="1" applyAlignment="1">
      <alignment horizontal="right" vertical="center"/>
    </xf>
    <xf numFmtId="0" fontId="12" fillId="0" borderId="1350" xfId="13" applyFont="1" applyBorder="1" applyAlignment="1">
      <alignment horizontal="left" vertical="center"/>
    </xf>
    <xf numFmtId="2" fontId="12" fillId="0" borderId="0" xfId="13" applyNumberFormat="1" applyFont="1" applyAlignment="1">
      <alignment horizontal="right" vertical="center"/>
    </xf>
    <xf numFmtId="4" fontId="5" fillId="2" borderId="1230" xfId="13" applyNumberFormat="1" applyFont="1" applyFill="1" applyBorder="1" applyAlignment="1">
      <alignment horizontal="right" vertical="center"/>
    </xf>
    <xf numFmtId="0" fontId="17" fillId="0" borderId="0" xfId="1" applyFont="1" applyAlignment="1">
      <alignment horizontal="right" vertical="center" wrapText="1"/>
    </xf>
    <xf numFmtId="49" fontId="21" fillId="4" borderId="0" xfId="1" applyNumberFormat="1" applyFont="1" applyFill="1"/>
    <xf numFmtId="0" fontId="21" fillId="4" borderId="0" xfId="1" applyFont="1" applyFill="1" applyAlignment="1">
      <alignment wrapText="1"/>
    </xf>
    <xf numFmtId="0" fontId="43" fillId="0" borderId="1295" xfId="10" applyFont="1" applyBorder="1" applyAlignment="1">
      <alignment horizontal="left" vertical="center" wrapText="1"/>
    </xf>
    <xf numFmtId="3" fontId="2" fillId="0" borderId="1295" xfId="10" applyNumberFormat="1" applyFont="1" applyBorder="1" applyAlignment="1">
      <alignment horizontal="right" vertical="center"/>
    </xf>
    <xf numFmtId="4" fontId="2" fillId="0" borderId="1295" xfId="10" applyNumberFormat="1" applyFont="1" applyBorder="1" applyAlignment="1">
      <alignment horizontal="right" vertical="center"/>
    </xf>
    <xf numFmtId="10" fontId="2" fillId="0" borderId="1295" xfId="10" applyNumberFormat="1" applyFont="1" applyBorder="1" applyAlignment="1">
      <alignment horizontal="right" vertical="center"/>
    </xf>
    <xf numFmtId="49" fontId="59" fillId="4" borderId="1295" xfId="10" applyNumberFormat="1" applyFont="1" applyFill="1" applyBorder="1" applyAlignment="1">
      <alignment horizontal="center" vertical="center" wrapText="1"/>
    </xf>
    <xf numFmtId="49" fontId="59" fillId="4" borderId="1311" xfId="10" applyNumberFormat="1" applyFont="1" applyFill="1" applyBorder="1" applyAlignment="1">
      <alignment vertical="center" wrapText="1"/>
    </xf>
    <xf numFmtId="0" fontId="41" fillId="7" borderId="1311" xfId="10" quotePrefix="1" applyFont="1" applyFill="1" applyBorder="1" applyAlignment="1">
      <alignment horizontal="left" vertical="center" wrapText="1"/>
    </xf>
    <xf numFmtId="0" fontId="18" fillId="0" borderId="1283" xfId="3" applyFont="1" applyFill="1" applyBorder="1" applyAlignment="1">
      <alignment horizontal="left" vertical="center" wrapText="1"/>
    </xf>
    <xf numFmtId="4" fontId="12" fillId="4" borderId="1368" xfId="1" applyNumberFormat="1" applyFont="1" applyFill="1" applyBorder="1" applyAlignment="1">
      <alignment horizontal="right" vertical="center"/>
    </xf>
    <xf numFmtId="49" fontId="12" fillId="4" borderId="1368" xfId="1" applyNumberFormat="1" applyFont="1" applyFill="1" applyBorder="1" applyAlignment="1">
      <alignment horizontal="center" vertical="center"/>
    </xf>
    <xf numFmtId="4" fontId="12" fillId="4" borderId="166" xfId="1" applyNumberFormat="1" applyFont="1" applyFill="1" applyBorder="1" applyAlignment="1">
      <alignment vertical="center"/>
    </xf>
    <xf numFmtId="4" fontId="12" fillId="0" borderId="0" xfId="1" applyNumberFormat="1" applyFont="1"/>
    <xf numFmtId="0" fontId="5" fillId="13" borderId="2" xfId="1" applyFont="1" applyFill="1" applyBorder="1" applyAlignment="1">
      <alignment horizontal="center" vertical="center" wrapText="1"/>
    </xf>
    <xf numFmtId="0" fontId="5" fillId="13" borderId="5" xfId="1" applyFont="1" applyFill="1" applyBorder="1" applyAlignment="1">
      <alignment horizontal="center" vertical="center" wrapText="1"/>
    </xf>
    <xf numFmtId="0" fontId="5" fillId="13" borderId="7" xfId="1" applyFont="1" applyFill="1" applyBorder="1" applyAlignment="1">
      <alignment horizontal="center" vertical="center" wrapText="1"/>
    </xf>
    <xf numFmtId="0" fontId="41" fillId="7" borderId="70" xfId="1" applyFont="1" applyFill="1" applyBorder="1" applyAlignment="1">
      <alignment horizontal="left" vertical="center" wrapText="1"/>
    </xf>
    <xf numFmtId="0" fontId="41" fillId="7" borderId="10" xfId="1" applyFont="1" applyFill="1" applyBorder="1" applyAlignment="1">
      <alignment horizontal="left" vertical="center" wrapText="1"/>
    </xf>
    <xf numFmtId="0" fontId="63" fillId="7" borderId="24" xfId="1" applyFont="1" applyFill="1" applyBorder="1" applyAlignment="1">
      <alignment horizontal="left" vertical="center" wrapText="1"/>
    </xf>
    <xf numFmtId="0" fontId="63" fillId="7" borderId="30" xfId="1" applyFont="1" applyFill="1" applyBorder="1" applyAlignment="1">
      <alignment horizontal="left" vertical="center" wrapText="1"/>
    </xf>
    <xf numFmtId="0" fontId="63" fillId="7" borderId="70" xfId="1" applyFont="1" applyFill="1" applyBorder="1" applyAlignment="1">
      <alignment horizontal="left" vertical="center" wrapText="1"/>
    </xf>
    <xf numFmtId="0" fontId="63" fillId="7" borderId="10" xfId="1" applyFont="1" applyFill="1" applyBorder="1" applyAlignment="1">
      <alignment horizontal="left" vertical="center" wrapText="1"/>
    </xf>
    <xf numFmtId="0" fontId="41" fillId="7" borderId="24" xfId="1" applyFont="1" applyFill="1" applyBorder="1" applyAlignment="1">
      <alignment horizontal="left" vertical="center" wrapText="1"/>
    </xf>
    <xf numFmtId="0" fontId="41" fillId="7" borderId="30" xfId="1" applyFont="1" applyFill="1" applyBorder="1" applyAlignment="1">
      <alignment horizontal="left" vertical="center" wrapText="1"/>
    </xf>
    <xf numFmtId="0" fontId="63" fillId="4" borderId="18" xfId="1" applyFont="1" applyFill="1" applyBorder="1" applyAlignment="1">
      <alignment horizontal="center" vertical="center" wrapText="1"/>
    </xf>
    <xf numFmtId="0" fontId="63" fillId="4" borderId="9" xfId="1" applyFont="1" applyFill="1" applyBorder="1" applyAlignment="1">
      <alignment horizontal="center" vertical="center" wrapText="1"/>
    </xf>
    <xf numFmtId="0" fontId="63" fillId="4" borderId="15" xfId="1" applyFont="1" applyFill="1" applyBorder="1" applyAlignment="1">
      <alignment horizontal="center" vertical="center" wrapText="1"/>
    </xf>
    <xf numFmtId="0" fontId="41" fillId="7" borderId="32" xfId="1" applyFont="1" applyFill="1" applyBorder="1" applyAlignment="1">
      <alignment horizontal="left" vertical="center" wrapText="1"/>
    </xf>
    <xf numFmtId="0" fontId="41" fillId="7" borderId="31" xfId="1" applyFont="1" applyFill="1" applyBorder="1" applyAlignment="1">
      <alignment horizontal="left" vertical="center" wrapText="1"/>
    </xf>
    <xf numFmtId="0" fontId="69" fillId="4" borderId="18" xfId="1" applyFont="1" applyFill="1" applyBorder="1" applyAlignment="1">
      <alignment horizontal="center" vertical="center" wrapText="1"/>
    </xf>
    <xf numFmtId="0" fontId="69" fillId="4" borderId="9" xfId="1" applyFont="1" applyFill="1" applyBorder="1" applyAlignment="1">
      <alignment horizontal="center" vertical="center" wrapText="1"/>
    </xf>
    <xf numFmtId="0" fontId="69" fillId="4" borderId="15" xfId="1" applyFont="1" applyFill="1" applyBorder="1" applyAlignment="1">
      <alignment horizontal="center" vertical="center" wrapText="1"/>
    </xf>
    <xf numFmtId="0" fontId="69" fillId="7" borderId="23" xfId="1" applyFont="1" applyFill="1" applyBorder="1" applyAlignment="1">
      <alignment horizontal="left" vertical="center" wrapText="1"/>
    </xf>
    <xf numFmtId="0" fontId="69" fillId="7" borderId="17" xfId="1" applyFont="1" applyFill="1" applyBorder="1" applyAlignment="1">
      <alignment horizontal="left" vertical="center" wrapText="1"/>
    </xf>
    <xf numFmtId="0" fontId="69" fillId="4" borderId="13" xfId="1" applyFont="1" applyFill="1" applyBorder="1" applyAlignment="1">
      <alignment horizontal="center" vertical="center" wrapText="1"/>
    </xf>
    <xf numFmtId="0" fontId="69" fillId="7" borderId="24" xfId="1" applyFont="1" applyFill="1" applyBorder="1" applyAlignment="1">
      <alignment horizontal="left" vertical="center" wrapText="1"/>
    </xf>
    <xf numFmtId="0" fontId="69" fillId="7" borderId="30" xfId="1" applyFont="1" applyFill="1" applyBorder="1" applyAlignment="1">
      <alignment horizontal="left" vertical="center" wrapText="1"/>
    </xf>
    <xf numFmtId="0" fontId="69" fillId="7" borderId="32" xfId="1" applyFont="1" applyFill="1" applyBorder="1" applyAlignment="1">
      <alignment horizontal="left" vertical="center" wrapText="1"/>
    </xf>
    <xf numFmtId="0" fontId="69" fillId="7" borderId="22" xfId="1" applyFont="1" applyFill="1" applyBorder="1" applyAlignment="1">
      <alignment horizontal="left" vertical="center" wrapText="1"/>
    </xf>
    <xf numFmtId="0" fontId="77" fillId="7" borderId="24" xfId="1" applyFont="1" applyFill="1" applyBorder="1" applyAlignment="1">
      <alignment horizontal="left" vertical="center" wrapText="1"/>
    </xf>
    <xf numFmtId="0" fontId="77" fillId="7" borderId="30" xfId="1" applyFont="1" applyFill="1" applyBorder="1" applyAlignment="1">
      <alignment horizontal="left" vertical="center" wrapText="1"/>
    </xf>
    <xf numFmtId="0" fontId="69" fillId="7" borderId="25" xfId="1" applyFont="1" applyFill="1" applyBorder="1" applyAlignment="1">
      <alignment horizontal="left" vertical="center" wrapText="1"/>
    </xf>
    <xf numFmtId="0" fontId="69" fillId="7" borderId="20" xfId="1" applyFont="1" applyFill="1" applyBorder="1" applyAlignment="1">
      <alignment horizontal="left" vertical="center" wrapText="1"/>
    </xf>
    <xf numFmtId="0" fontId="69" fillId="7" borderId="34" xfId="1" applyFont="1" applyFill="1" applyBorder="1" applyAlignment="1">
      <alignment horizontal="left" vertical="center" wrapText="1"/>
    </xf>
    <xf numFmtId="0" fontId="69" fillId="7" borderId="70" xfId="1" applyFont="1" applyFill="1" applyBorder="1" applyAlignment="1">
      <alignment horizontal="left" vertical="center" wrapText="1"/>
    </xf>
    <xf numFmtId="0" fontId="69" fillId="7" borderId="35" xfId="1" applyFont="1" applyFill="1" applyBorder="1" applyAlignment="1">
      <alignment horizontal="left" vertical="center" wrapText="1"/>
    </xf>
    <xf numFmtId="0" fontId="81" fillId="4" borderId="9" xfId="1" applyFont="1" applyFill="1" applyBorder="1" applyAlignment="1">
      <alignment horizontal="center" vertical="center" wrapText="1"/>
    </xf>
    <xf numFmtId="0" fontId="69" fillId="7" borderId="28" xfId="1" applyFont="1" applyFill="1" applyBorder="1" applyAlignment="1">
      <alignment horizontal="left" vertical="center" wrapText="1"/>
    </xf>
    <xf numFmtId="0" fontId="41" fillId="7" borderId="25" xfId="1" applyFont="1" applyFill="1" applyBorder="1" applyAlignment="1">
      <alignment horizontal="left" vertical="center" wrapText="1"/>
    </xf>
    <xf numFmtId="0" fontId="41" fillId="7" borderId="27" xfId="1" applyFont="1" applyFill="1" applyBorder="1" applyAlignment="1">
      <alignment horizontal="left" vertical="center" wrapText="1"/>
    </xf>
    <xf numFmtId="0" fontId="69" fillId="0" borderId="9" xfId="1" applyFont="1" applyBorder="1" applyAlignment="1">
      <alignment horizontal="center" vertical="center" wrapText="1"/>
    </xf>
    <xf numFmtId="0" fontId="69" fillId="0" borderId="15" xfId="1" applyFont="1" applyBorder="1" applyAlignment="1">
      <alignment horizontal="center" vertical="center" wrapText="1"/>
    </xf>
    <xf numFmtId="0" fontId="69" fillId="7" borderId="6" xfId="1" applyFont="1" applyFill="1" applyBorder="1" applyAlignment="1">
      <alignment horizontal="left" vertical="center" wrapText="1"/>
    </xf>
    <xf numFmtId="0" fontId="69" fillId="0" borderId="18" xfId="1" applyFont="1" applyBorder="1" applyAlignment="1">
      <alignment horizontal="center" vertical="center" wrapText="1"/>
    </xf>
    <xf numFmtId="0" fontId="69" fillId="7" borderId="19" xfId="1" applyFont="1" applyFill="1" applyBorder="1" applyAlignment="1">
      <alignment horizontal="left" vertical="center" wrapText="1"/>
    </xf>
    <xf numFmtId="0" fontId="69" fillId="7" borderId="27" xfId="1" applyFont="1" applyFill="1" applyBorder="1" applyAlignment="1">
      <alignment horizontal="left" vertical="center" wrapText="1"/>
    </xf>
    <xf numFmtId="0" fontId="75" fillId="0" borderId="9" xfId="1" applyFont="1" applyBorder="1" applyAlignment="1">
      <alignment horizontal="center" vertical="center" wrapText="1"/>
    </xf>
    <xf numFmtId="0" fontId="41" fillId="7" borderId="17" xfId="1" applyFont="1" applyFill="1" applyBorder="1" applyAlignment="1">
      <alignment horizontal="left" vertical="center" wrapText="1"/>
    </xf>
    <xf numFmtId="0" fontId="41" fillId="4" borderId="18" xfId="1" applyFont="1" applyFill="1" applyBorder="1" applyAlignment="1">
      <alignment horizontal="center" vertical="center" wrapText="1"/>
    </xf>
    <xf numFmtId="0" fontId="41" fillId="4" borderId="15" xfId="1" applyFont="1" applyFill="1" applyBorder="1" applyAlignment="1">
      <alignment horizontal="center" vertical="center" wrapText="1"/>
    </xf>
    <xf numFmtId="0" fontId="41" fillId="7" borderId="22" xfId="1" applyFont="1" applyFill="1" applyBorder="1" applyAlignment="1">
      <alignment horizontal="left" vertical="center" wrapText="1"/>
    </xf>
    <xf numFmtId="0" fontId="41" fillId="7" borderId="35" xfId="1" applyFont="1" applyFill="1" applyBorder="1" applyAlignment="1">
      <alignment horizontal="left" vertical="center" wrapText="1"/>
    </xf>
    <xf numFmtId="0" fontId="77" fillId="7" borderId="17" xfId="1" applyFont="1" applyFill="1" applyBorder="1" applyAlignment="1">
      <alignment horizontal="left" vertical="center" wrapText="1"/>
    </xf>
    <xf numFmtId="0" fontId="61" fillId="4" borderId="18" xfId="1" applyFont="1" applyFill="1" applyBorder="1" applyAlignment="1">
      <alignment horizontal="center" vertical="center" wrapText="1"/>
    </xf>
    <xf numFmtId="0" fontId="61" fillId="4" borderId="9" xfId="1" applyFont="1" applyFill="1" applyBorder="1" applyAlignment="1">
      <alignment horizontal="center" vertical="center" wrapText="1"/>
    </xf>
    <xf numFmtId="0" fontId="61" fillId="4" borderId="15" xfId="1" applyFont="1" applyFill="1" applyBorder="1" applyAlignment="1">
      <alignment horizontal="center" vertical="center" wrapText="1"/>
    </xf>
    <xf numFmtId="0" fontId="43" fillId="0" borderId="18" xfId="1" applyFont="1" applyBorder="1" applyAlignment="1">
      <alignment horizontal="left" vertical="center" wrapText="1"/>
    </xf>
    <xf numFmtId="0" fontId="43" fillId="0" borderId="9" xfId="1" applyFont="1" applyBorder="1" applyAlignment="1">
      <alignment horizontal="left" vertical="center" wrapText="1"/>
    </xf>
    <xf numFmtId="0" fontId="43" fillId="0" borderId="15" xfId="1" applyFont="1" applyBorder="1" applyAlignment="1">
      <alignment horizontal="left" vertical="center" wrapText="1"/>
    </xf>
    <xf numFmtId="0" fontId="41" fillId="7" borderId="23" xfId="1" applyFont="1" applyFill="1" applyBorder="1" applyAlignment="1">
      <alignment horizontal="left" vertical="center" wrapText="1"/>
    </xf>
    <xf numFmtId="49" fontId="43" fillId="4" borderId="18" xfId="1" applyNumberFormat="1" applyFont="1" applyFill="1" applyBorder="1" applyAlignment="1">
      <alignment horizontal="center" vertical="center" wrapText="1"/>
    </xf>
    <xf numFmtId="49" fontId="43" fillId="4" borderId="9" xfId="1" applyNumberFormat="1" applyFont="1" applyFill="1" applyBorder="1" applyAlignment="1">
      <alignment horizontal="center" vertical="center" wrapText="1"/>
    </xf>
    <xf numFmtId="49" fontId="43" fillId="4" borderId="13" xfId="1" applyNumberFormat="1" applyFont="1" applyFill="1" applyBorder="1" applyAlignment="1">
      <alignment horizontal="center" vertical="center" wrapText="1"/>
    </xf>
    <xf numFmtId="0" fontId="40" fillId="0" borderId="3" xfId="10" applyFont="1" applyBorder="1" applyAlignment="1">
      <alignment horizontal="center"/>
    </xf>
    <xf numFmtId="0" fontId="40" fillId="0" borderId="9" xfId="10" applyFont="1" applyBorder="1" applyAlignment="1">
      <alignment horizontal="center"/>
    </xf>
    <xf numFmtId="0" fontId="40" fillId="0" borderId="13" xfId="10" applyFont="1" applyBorder="1" applyAlignment="1">
      <alignment horizontal="center"/>
    </xf>
    <xf numFmtId="0" fontId="41" fillId="7" borderId="34" xfId="1" applyFont="1" applyFill="1" applyBorder="1" applyAlignment="1">
      <alignment horizontal="left" vertical="center" wrapText="1"/>
    </xf>
    <xf numFmtId="0" fontId="77" fillId="7" borderId="32" xfId="1" applyFont="1" applyFill="1" applyBorder="1" applyAlignment="1">
      <alignment horizontal="left" vertical="center" wrapText="1"/>
    </xf>
    <xf numFmtId="0" fontId="77" fillId="7" borderId="22" xfId="1" applyFont="1" applyFill="1" applyBorder="1" applyAlignment="1">
      <alignment horizontal="left" vertical="center" wrapText="1"/>
    </xf>
    <xf numFmtId="0" fontId="41" fillId="7" borderId="49" xfId="1" applyFont="1" applyFill="1" applyBorder="1" applyAlignment="1">
      <alignment horizontal="left" vertical="center" wrapText="1"/>
    </xf>
    <xf numFmtId="0" fontId="41" fillId="7" borderId="54" xfId="1" applyFont="1" applyFill="1" applyBorder="1" applyAlignment="1">
      <alignment horizontal="left" vertical="center" wrapText="1"/>
    </xf>
    <xf numFmtId="0" fontId="43" fillId="4" borderId="18" xfId="1" applyFont="1" applyFill="1" applyBorder="1" applyAlignment="1">
      <alignment horizontal="center" vertical="center" wrapText="1"/>
    </xf>
    <xf numFmtId="0" fontId="43" fillId="4" borderId="9" xfId="1" applyFont="1" applyFill="1" applyBorder="1" applyAlignment="1">
      <alignment horizontal="center" vertical="center" wrapText="1"/>
    </xf>
    <xf numFmtId="0" fontId="43" fillId="4" borderId="13" xfId="1" applyFont="1" applyFill="1" applyBorder="1" applyAlignment="1">
      <alignment horizontal="center" vertical="center" wrapText="1"/>
    </xf>
    <xf numFmtId="0" fontId="43" fillId="4" borderId="15" xfId="1" applyFont="1" applyFill="1" applyBorder="1" applyAlignment="1">
      <alignment horizontal="center" vertical="center" wrapText="1"/>
    </xf>
    <xf numFmtId="0" fontId="41" fillId="4" borderId="9" xfId="1" applyFont="1" applyFill="1" applyBorder="1" applyAlignment="1">
      <alignment horizontal="center" vertical="center" wrapText="1"/>
    </xf>
    <xf numFmtId="0" fontId="43" fillId="4" borderId="9" xfId="1" quotePrefix="1" applyFont="1" applyFill="1" applyBorder="1" applyAlignment="1">
      <alignment horizontal="left" vertical="center" wrapText="1"/>
    </xf>
    <xf numFmtId="0" fontId="43" fillId="4" borderId="13" xfId="1" quotePrefix="1" applyFont="1" applyFill="1" applyBorder="1" applyAlignment="1">
      <alignment horizontal="left" vertical="center" wrapText="1"/>
    </xf>
    <xf numFmtId="0" fontId="63" fillId="4" borderId="13" xfId="1" applyFont="1" applyFill="1" applyBorder="1" applyAlignment="1">
      <alignment horizontal="center" vertical="center" wrapText="1"/>
    </xf>
    <xf numFmtId="0" fontId="43" fillId="4" borderId="3" xfId="1" applyFont="1" applyFill="1" applyBorder="1" applyAlignment="1">
      <alignment horizontal="center" vertical="center" wrapText="1"/>
    </xf>
    <xf numFmtId="49" fontId="43" fillId="4" borderId="15" xfId="1" applyNumberFormat="1" applyFont="1" applyFill="1" applyBorder="1" applyAlignment="1">
      <alignment horizontal="center" vertical="center" wrapText="1"/>
    </xf>
    <xf numFmtId="0" fontId="41" fillId="7" borderId="0" xfId="1" applyFont="1" applyFill="1" applyAlignment="1">
      <alignment horizontal="left" vertical="center" wrapText="1"/>
    </xf>
    <xf numFmtId="0" fontId="77" fillId="7" borderId="55" xfId="1" applyFont="1" applyFill="1" applyBorder="1" applyAlignment="1">
      <alignment horizontal="left" vertical="center" wrapText="1"/>
    </xf>
    <xf numFmtId="0" fontId="77" fillId="7" borderId="59" xfId="1" applyFont="1" applyFill="1" applyBorder="1" applyAlignment="1">
      <alignment horizontal="left" vertical="center" wrapText="1"/>
    </xf>
    <xf numFmtId="0" fontId="41" fillId="0" borderId="15" xfId="1" applyFont="1" applyBorder="1" applyAlignment="1">
      <alignment horizontal="center" vertical="center" wrapText="1"/>
    </xf>
    <xf numFmtId="0" fontId="41" fillId="0" borderId="21" xfId="1" applyFont="1" applyBorder="1" applyAlignment="1">
      <alignment horizontal="center" vertical="center" wrapText="1"/>
    </xf>
    <xf numFmtId="0" fontId="41" fillId="0" borderId="18" xfId="1" applyFont="1" applyBorder="1" applyAlignment="1">
      <alignment horizontal="center" vertical="center" wrapText="1"/>
    </xf>
    <xf numFmtId="0" fontId="43" fillId="0" borderId="16" xfId="1" applyFont="1" applyBorder="1" applyAlignment="1">
      <alignment horizontal="left" vertical="center" wrapText="1"/>
    </xf>
    <xf numFmtId="0" fontId="43" fillId="0" borderId="27" xfId="1" applyFont="1" applyBorder="1" applyAlignment="1">
      <alignment horizontal="left" vertical="center" wrapText="1"/>
    </xf>
    <xf numFmtId="0" fontId="69" fillId="7" borderId="31" xfId="1" applyFont="1" applyFill="1" applyBorder="1" applyAlignment="1">
      <alignment horizontal="left" vertical="center" wrapText="1"/>
    </xf>
    <xf numFmtId="0" fontId="68" fillId="4" borderId="44" xfId="1" applyFont="1" applyFill="1" applyBorder="1" applyAlignment="1">
      <alignment horizontal="center" vertical="center" wrapText="1"/>
    </xf>
    <xf numFmtId="0" fontId="68" fillId="4" borderId="45" xfId="1" applyFont="1" applyFill="1" applyBorder="1" applyAlignment="1">
      <alignment horizontal="center" vertical="center" wrapText="1"/>
    </xf>
    <xf numFmtId="0" fontId="68" fillId="4" borderId="36" xfId="1" applyFont="1" applyFill="1" applyBorder="1" applyAlignment="1">
      <alignment horizontal="center" vertical="center" wrapText="1"/>
    </xf>
    <xf numFmtId="0" fontId="72" fillId="7" borderId="24" xfId="1" applyFont="1" applyFill="1" applyBorder="1" applyAlignment="1">
      <alignment horizontal="left" vertical="center" wrapText="1"/>
    </xf>
    <xf numFmtId="0" fontId="72" fillId="7" borderId="30" xfId="1" applyFont="1" applyFill="1" applyBorder="1" applyAlignment="1">
      <alignment horizontal="left" vertical="center" wrapText="1"/>
    </xf>
    <xf numFmtId="0" fontId="62" fillId="4" borderId="18" xfId="1" applyFont="1" applyFill="1" applyBorder="1" applyAlignment="1">
      <alignment horizontal="center" vertical="center" wrapText="1"/>
    </xf>
    <xf numFmtId="0" fontId="62" fillId="4" borderId="15" xfId="1" applyFont="1" applyFill="1" applyBorder="1" applyAlignment="1">
      <alignment horizontal="center" vertical="center" wrapText="1"/>
    </xf>
    <xf numFmtId="0" fontId="63" fillId="7" borderId="32" xfId="1" applyFont="1" applyFill="1" applyBorder="1" applyAlignment="1">
      <alignment horizontal="left" vertical="center" wrapText="1"/>
    </xf>
    <xf numFmtId="0" fontId="63" fillId="7" borderId="31" xfId="1" applyFont="1" applyFill="1" applyBorder="1" applyAlignment="1">
      <alignment horizontal="left" vertical="center" wrapText="1"/>
    </xf>
    <xf numFmtId="0" fontId="69" fillId="7" borderId="4" xfId="1" applyFont="1" applyFill="1" applyBorder="1" applyAlignment="1">
      <alignment horizontal="left" vertical="center" wrapText="1"/>
    </xf>
    <xf numFmtId="0" fontId="52" fillId="0" borderId="13" xfId="8" applyBorder="1" applyAlignment="1">
      <alignment horizontal="center" vertical="center" wrapText="1"/>
    </xf>
    <xf numFmtId="0" fontId="63" fillId="7" borderId="25" xfId="1" applyFont="1" applyFill="1" applyBorder="1" applyAlignment="1">
      <alignment horizontal="left" vertical="center" wrapText="1"/>
    </xf>
    <xf numFmtId="0" fontId="63" fillId="7" borderId="27" xfId="1" applyFont="1" applyFill="1" applyBorder="1" applyAlignment="1">
      <alignment horizontal="left" vertical="center" wrapText="1"/>
    </xf>
    <xf numFmtId="0" fontId="69" fillId="7" borderId="16" xfId="1" applyFont="1" applyFill="1" applyBorder="1" applyAlignment="1">
      <alignment horizontal="left" vertical="center" wrapText="1"/>
    </xf>
    <xf numFmtId="0" fontId="80" fillId="4" borderId="18" xfId="10" applyFont="1" applyFill="1" applyBorder="1" applyAlignment="1">
      <alignment horizontal="center" vertical="center" wrapText="1"/>
    </xf>
    <xf numFmtId="0" fontId="80" fillId="4" borderId="9" xfId="10" applyFont="1" applyFill="1" applyBorder="1" applyAlignment="1">
      <alignment horizontal="center" vertical="center" wrapText="1"/>
    </xf>
    <xf numFmtId="0" fontId="80" fillId="4" borderId="15" xfId="10" applyFont="1" applyFill="1" applyBorder="1" applyAlignment="1">
      <alignment horizontal="center" vertical="center" wrapText="1"/>
    </xf>
    <xf numFmtId="0" fontId="41" fillId="7" borderId="14" xfId="1" applyFont="1" applyFill="1" applyBorder="1" applyAlignment="1">
      <alignment horizontal="left" vertical="center" wrapText="1"/>
    </xf>
    <xf numFmtId="49" fontId="43" fillId="4" borderId="3" xfId="1" applyNumberFormat="1" applyFont="1" applyFill="1" applyBorder="1" applyAlignment="1">
      <alignment horizontal="center" vertical="center" wrapText="1"/>
    </xf>
    <xf numFmtId="0" fontId="43" fillId="0" borderId="21" xfId="10" applyFont="1" applyBorder="1" applyAlignment="1">
      <alignment horizontal="left" vertical="center" wrapText="1"/>
    </xf>
    <xf numFmtId="0" fontId="63" fillId="0" borderId="18" xfId="1" applyFont="1" applyBorder="1" applyAlignment="1">
      <alignment horizontal="center" vertical="center" wrapText="1"/>
    </xf>
    <xf numFmtId="0" fontId="63" fillId="0" borderId="13" xfId="1" applyFont="1" applyBorder="1" applyAlignment="1">
      <alignment horizontal="center" vertical="center" wrapText="1"/>
    </xf>
    <xf numFmtId="0" fontId="43" fillId="0" borderId="13" xfId="1" applyFont="1" applyBorder="1" applyAlignment="1">
      <alignment horizontal="left" vertical="center" wrapText="1"/>
    </xf>
    <xf numFmtId="0" fontId="63" fillId="4" borderId="3" xfId="1" applyFont="1" applyFill="1" applyBorder="1" applyAlignment="1">
      <alignment horizontal="center" vertical="center" wrapText="1"/>
    </xf>
    <xf numFmtId="49" fontId="43" fillId="0" borderId="18" xfId="1" applyNumberFormat="1" applyFont="1" applyBorder="1" applyAlignment="1">
      <alignment horizontal="center" vertical="center" wrapText="1"/>
    </xf>
    <xf numFmtId="49" fontId="43" fillId="0" borderId="9" xfId="1" applyNumberFormat="1" applyFont="1" applyBorder="1" applyAlignment="1">
      <alignment horizontal="center" vertical="center" wrapText="1"/>
    </xf>
    <xf numFmtId="49" fontId="43" fillId="0" borderId="13" xfId="1" applyNumberFormat="1" applyFont="1" applyBorder="1" applyAlignment="1">
      <alignment horizontal="center" vertical="center" wrapText="1"/>
    </xf>
    <xf numFmtId="0" fontId="41" fillId="7" borderId="11" xfId="1" applyFont="1" applyFill="1" applyBorder="1" applyAlignment="1">
      <alignment horizontal="left" vertical="center" wrapText="1"/>
    </xf>
    <xf numFmtId="0" fontId="41" fillId="7" borderId="1" xfId="1" applyFont="1" applyFill="1" applyBorder="1" applyAlignment="1">
      <alignment horizontal="left" vertical="center" wrapText="1"/>
    </xf>
    <xf numFmtId="0" fontId="72" fillId="7" borderId="11" xfId="1" applyFont="1" applyFill="1" applyBorder="1" applyAlignment="1">
      <alignment horizontal="left" vertical="center" wrapText="1"/>
    </xf>
    <xf numFmtId="0" fontId="72" fillId="7" borderId="1" xfId="1" applyFont="1" applyFill="1" applyBorder="1" applyAlignment="1">
      <alignment horizontal="left" vertical="center" wrapText="1"/>
    </xf>
    <xf numFmtId="0" fontId="41" fillId="4" borderId="70" xfId="1" applyFont="1" applyFill="1" applyBorder="1" applyAlignment="1">
      <alignment horizontal="center" vertical="center" wrapText="1"/>
    </xf>
    <xf numFmtId="0" fontId="41" fillId="4" borderId="14" xfId="1" applyFont="1" applyFill="1" applyBorder="1" applyAlignment="1">
      <alignment horizontal="center" vertical="center" wrapText="1"/>
    </xf>
    <xf numFmtId="0" fontId="41" fillId="4" borderId="23" xfId="1" applyFont="1" applyFill="1" applyBorder="1" applyAlignment="1">
      <alignment horizontal="center" vertical="center" wrapText="1"/>
    </xf>
    <xf numFmtId="0" fontId="43" fillId="0" borderId="70" xfId="1" applyFont="1" applyBorder="1" applyAlignment="1">
      <alignment horizontal="left" vertical="center" wrapText="1"/>
    </xf>
    <xf numFmtId="0" fontId="43" fillId="0" borderId="14" xfId="1" applyFont="1" applyBorder="1" applyAlignment="1">
      <alignment horizontal="left" vertical="center" wrapText="1"/>
    </xf>
    <xf numFmtId="0" fontId="43" fillId="0" borderId="23" xfId="1" applyFont="1" applyBorder="1" applyAlignment="1">
      <alignment horizontal="left" vertical="center" wrapText="1"/>
    </xf>
    <xf numFmtId="0" fontId="41" fillId="7" borderId="20" xfId="1" applyFont="1" applyFill="1" applyBorder="1" applyAlignment="1">
      <alignment horizontal="left" vertical="center" wrapText="1"/>
    </xf>
    <xf numFmtId="0" fontId="63" fillId="7" borderId="17" xfId="1" applyFont="1" applyFill="1" applyBorder="1" applyAlignment="1">
      <alignment horizontal="left" vertical="center" wrapText="1"/>
    </xf>
    <xf numFmtId="0" fontId="63" fillId="7" borderId="35" xfId="1" applyFont="1" applyFill="1" applyBorder="1" applyAlignment="1">
      <alignment horizontal="left" vertical="center" wrapText="1"/>
    </xf>
    <xf numFmtId="0" fontId="41" fillId="0" borderId="9" xfId="1" applyFont="1" applyBorder="1" applyAlignment="1">
      <alignment horizontal="center" vertical="center" wrapText="1"/>
    </xf>
    <xf numFmtId="0" fontId="41" fillId="7" borderId="39" xfId="1" applyFont="1" applyFill="1" applyBorder="1" applyAlignment="1">
      <alignment horizontal="left" vertical="center" wrapText="1"/>
    </xf>
    <xf numFmtId="0" fontId="41" fillId="7" borderId="42" xfId="1" applyFont="1" applyFill="1" applyBorder="1" applyAlignment="1">
      <alignment horizontal="left" vertical="center" wrapText="1"/>
    </xf>
    <xf numFmtId="0" fontId="41" fillId="7" borderId="32" xfId="10" applyFont="1" applyFill="1" applyBorder="1" applyAlignment="1">
      <alignment horizontal="left" vertical="center" wrapText="1"/>
    </xf>
    <xf numFmtId="0" fontId="41" fillId="7" borderId="22" xfId="10" quotePrefix="1" applyFont="1" applyFill="1" applyBorder="1" applyAlignment="1">
      <alignment horizontal="left" vertical="center" wrapText="1"/>
    </xf>
    <xf numFmtId="0" fontId="41" fillId="7" borderId="23" xfId="10" applyFont="1" applyFill="1" applyBorder="1" applyAlignment="1">
      <alignment horizontal="left" vertical="center" wrapText="1"/>
    </xf>
    <xf numFmtId="0" fontId="41" fillId="7" borderId="17" xfId="10" applyFont="1" applyFill="1" applyBorder="1" applyAlignment="1">
      <alignment horizontal="left" vertical="center" wrapText="1"/>
    </xf>
    <xf numFmtId="0" fontId="61" fillId="0" borderId="18" xfId="10" applyFont="1" applyBorder="1" applyAlignment="1">
      <alignment horizontal="center" vertical="center" wrapText="1"/>
    </xf>
    <xf numFmtId="0" fontId="61" fillId="0" borderId="15" xfId="10" applyFont="1" applyBorder="1" applyAlignment="1">
      <alignment horizontal="center" vertical="center" wrapText="1"/>
    </xf>
    <xf numFmtId="0" fontId="41" fillId="7" borderId="55" xfId="10" applyFont="1" applyFill="1" applyBorder="1" applyAlignment="1">
      <alignment horizontal="left" vertical="center" wrapText="1"/>
    </xf>
    <xf numFmtId="0" fontId="41" fillId="7" borderId="58" xfId="10" quotePrefix="1" applyFont="1" applyFill="1" applyBorder="1" applyAlignment="1">
      <alignment horizontal="left" vertical="center" wrapText="1"/>
    </xf>
    <xf numFmtId="0" fontId="41" fillId="7" borderId="27" xfId="10" quotePrefix="1" applyFont="1" applyFill="1" applyBorder="1" applyAlignment="1">
      <alignment horizontal="left" vertical="center" wrapText="1"/>
    </xf>
    <xf numFmtId="0" fontId="43" fillId="4" borderId="18" xfId="10" quotePrefix="1" applyFont="1" applyFill="1" applyBorder="1" applyAlignment="1">
      <alignment horizontal="center" vertical="center" wrapText="1"/>
    </xf>
    <xf numFmtId="0" fontId="43" fillId="4" borderId="15" xfId="10" quotePrefix="1" applyFont="1" applyFill="1" applyBorder="1" applyAlignment="1">
      <alignment horizontal="center" vertical="center" wrapText="1"/>
    </xf>
    <xf numFmtId="0" fontId="72" fillId="7" borderId="17" xfId="1" applyFont="1" applyFill="1" applyBorder="1" applyAlignment="1">
      <alignment horizontal="left" vertical="center" wrapText="1"/>
    </xf>
    <xf numFmtId="0" fontId="72" fillId="7" borderId="35" xfId="1" applyFont="1" applyFill="1" applyBorder="1" applyAlignment="1">
      <alignment horizontal="left" vertical="center" wrapText="1"/>
    </xf>
    <xf numFmtId="0" fontId="41" fillId="7" borderId="24" xfId="10" applyFont="1" applyFill="1" applyBorder="1" applyAlignment="1">
      <alignment horizontal="left" vertical="center" wrapText="1"/>
    </xf>
    <xf numFmtId="0" fontId="41" fillId="7" borderId="34" xfId="10" applyFont="1" applyFill="1" applyBorder="1" applyAlignment="1">
      <alignment horizontal="left" vertical="center" wrapText="1"/>
    </xf>
    <xf numFmtId="0" fontId="41" fillId="4" borderId="18" xfId="10" applyFont="1" applyFill="1" applyBorder="1" applyAlignment="1">
      <alignment horizontal="center" vertical="center" wrapText="1"/>
    </xf>
    <xf numFmtId="0" fontId="41" fillId="4" borderId="9" xfId="10" applyFont="1" applyFill="1" applyBorder="1" applyAlignment="1">
      <alignment horizontal="center" vertical="center" wrapText="1"/>
    </xf>
    <xf numFmtId="0" fontId="41" fillId="4" borderId="15" xfId="10" applyFont="1" applyFill="1" applyBorder="1" applyAlignment="1">
      <alignment horizontal="center" vertical="center" wrapText="1"/>
    </xf>
    <xf numFmtId="49" fontId="43" fillId="4" borderId="18" xfId="10" quotePrefix="1" applyNumberFormat="1" applyFont="1" applyFill="1" applyBorder="1" applyAlignment="1">
      <alignment horizontal="center" vertical="center" wrapText="1"/>
    </xf>
    <xf numFmtId="49" fontId="43" fillId="4" borderId="13" xfId="10" quotePrefix="1" applyNumberFormat="1" applyFont="1" applyFill="1" applyBorder="1" applyAlignment="1">
      <alignment horizontal="center" vertical="center" wrapText="1"/>
    </xf>
    <xf numFmtId="0" fontId="43" fillId="4" borderId="3" xfId="10" quotePrefix="1" applyFont="1" applyFill="1" applyBorder="1" applyAlignment="1">
      <alignment horizontal="center" vertical="center" wrapText="1"/>
    </xf>
    <xf numFmtId="0" fontId="43" fillId="4" borderId="9" xfId="10" quotePrefix="1" applyFont="1" applyFill="1" applyBorder="1" applyAlignment="1">
      <alignment horizontal="center" vertical="center" wrapText="1"/>
    </xf>
    <xf numFmtId="0" fontId="43" fillId="4" borderId="13" xfId="10" quotePrefix="1" applyFont="1" applyFill="1" applyBorder="1" applyAlignment="1">
      <alignment horizontal="center" vertical="center" wrapText="1"/>
    </xf>
    <xf numFmtId="0" fontId="69" fillId="7" borderId="32" xfId="10" applyFont="1" applyFill="1" applyBorder="1" applyAlignment="1">
      <alignment horizontal="left" vertical="center"/>
    </xf>
    <xf numFmtId="0" fontId="69" fillId="7" borderId="31" xfId="10" applyFont="1" applyFill="1" applyBorder="1" applyAlignment="1">
      <alignment horizontal="left" vertical="center"/>
    </xf>
    <xf numFmtId="0" fontId="69" fillId="7" borderId="24" xfId="10" applyFont="1" applyFill="1" applyBorder="1" applyAlignment="1">
      <alignment horizontal="left" vertical="center" wrapText="1"/>
    </xf>
    <xf numFmtId="0" fontId="69" fillId="7" borderId="30" xfId="10" applyFont="1" applyFill="1" applyBorder="1" applyAlignment="1">
      <alignment horizontal="left" vertical="center" wrapText="1"/>
    </xf>
    <xf numFmtId="0" fontId="69" fillId="7" borderId="70" xfId="10" applyFont="1" applyFill="1" applyBorder="1" applyAlignment="1">
      <alignment horizontal="left" vertical="center"/>
    </xf>
    <xf numFmtId="0" fontId="69" fillId="7" borderId="19" xfId="10" applyFont="1" applyFill="1" applyBorder="1" applyAlignment="1">
      <alignment horizontal="left" vertical="center"/>
    </xf>
    <xf numFmtId="0" fontId="41" fillId="7" borderId="34" xfId="10" quotePrefix="1" applyFont="1" applyFill="1" applyBorder="1" applyAlignment="1">
      <alignment horizontal="left" vertical="center" wrapText="1"/>
    </xf>
    <xf numFmtId="0" fontId="69" fillId="7" borderId="30" xfId="10" quotePrefix="1" applyFont="1" applyFill="1" applyBorder="1" applyAlignment="1">
      <alignment horizontal="left" vertical="center" wrapText="1"/>
    </xf>
    <xf numFmtId="0" fontId="67" fillId="4" borderId="18" xfId="10" quotePrefix="1" applyFont="1" applyFill="1" applyBorder="1" applyAlignment="1">
      <alignment horizontal="left" vertical="center" wrapText="1"/>
    </xf>
    <xf numFmtId="0" fontId="67" fillId="4" borderId="15" xfId="10" quotePrefix="1" applyFont="1" applyFill="1" applyBorder="1" applyAlignment="1">
      <alignment horizontal="left" vertical="center" wrapText="1"/>
    </xf>
    <xf numFmtId="49" fontId="67" fillId="4" borderId="18" xfId="10" quotePrefix="1" applyNumberFormat="1" applyFont="1" applyFill="1" applyBorder="1" applyAlignment="1">
      <alignment horizontal="center" vertical="center" wrapText="1"/>
    </xf>
    <xf numFmtId="49" fontId="67" fillId="4" borderId="15" xfId="10" quotePrefix="1" applyNumberFormat="1" applyFont="1" applyFill="1" applyBorder="1" applyAlignment="1">
      <alignment horizontal="center" vertical="center" wrapText="1"/>
    </xf>
    <xf numFmtId="0" fontId="73" fillId="0" borderId="9" xfId="10" applyFont="1" applyBorder="1" applyAlignment="1">
      <alignment horizontal="center" vertical="center" wrapText="1"/>
    </xf>
    <xf numFmtId="0" fontId="63" fillId="0" borderId="9" xfId="10" applyFont="1" applyBorder="1" applyAlignment="1">
      <alignment horizontal="center" vertical="center" wrapText="1"/>
    </xf>
    <xf numFmtId="0" fontId="63" fillId="0" borderId="15" xfId="10" applyFont="1" applyBorder="1" applyAlignment="1">
      <alignment horizontal="center" vertical="center" wrapText="1"/>
    </xf>
    <xf numFmtId="0" fontId="71" fillId="0" borderId="18" xfId="10" applyFont="1" applyBorder="1" applyAlignment="1">
      <alignment horizontal="left" vertical="center" wrapText="1"/>
    </xf>
    <xf numFmtId="0" fontId="71" fillId="0" borderId="9" xfId="10" applyFont="1" applyBorder="1" applyAlignment="1">
      <alignment horizontal="left" vertical="center" wrapText="1"/>
    </xf>
    <xf numFmtId="0" fontId="71" fillId="0" borderId="15" xfId="10" applyFont="1" applyBorder="1" applyAlignment="1">
      <alignment horizontal="left" vertical="center" wrapText="1"/>
    </xf>
    <xf numFmtId="0" fontId="63" fillId="4" borderId="9" xfId="10" applyFont="1" applyFill="1" applyBorder="1" applyAlignment="1">
      <alignment horizontal="center" vertical="center" wrapText="1"/>
    </xf>
    <xf numFmtId="0" fontId="63" fillId="4" borderId="15" xfId="10" applyFont="1" applyFill="1" applyBorder="1" applyAlignment="1">
      <alignment horizontal="center" vertical="center" wrapText="1"/>
    </xf>
    <xf numFmtId="0" fontId="69" fillId="7" borderId="25" xfId="10" applyFont="1" applyFill="1" applyBorder="1" applyAlignment="1">
      <alignment horizontal="left" vertical="center" wrapText="1"/>
    </xf>
    <xf numFmtId="0" fontId="69" fillId="7" borderId="20" xfId="10" quotePrefix="1" applyFont="1" applyFill="1" applyBorder="1" applyAlignment="1">
      <alignment horizontal="left" vertical="center" wrapText="1"/>
    </xf>
    <xf numFmtId="0" fontId="69" fillId="7" borderId="17" xfId="10" applyFont="1" applyFill="1" applyBorder="1" applyAlignment="1">
      <alignment horizontal="left" vertical="center" wrapText="1"/>
    </xf>
    <xf numFmtId="0" fontId="69" fillId="7" borderId="17" xfId="10" quotePrefix="1" applyFont="1" applyFill="1" applyBorder="1" applyAlignment="1">
      <alignment horizontal="left" vertical="center" wrapText="1"/>
    </xf>
    <xf numFmtId="49" fontId="43" fillId="4" borderId="18" xfId="10" applyNumberFormat="1" applyFont="1" applyFill="1" applyBorder="1" applyAlignment="1">
      <alignment horizontal="center" vertical="center" wrapText="1"/>
    </xf>
    <xf numFmtId="49" fontId="43" fillId="4" borderId="15" xfId="10" applyNumberFormat="1" applyFont="1" applyFill="1" applyBorder="1" applyAlignment="1">
      <alignment horizontal="center" vertical="center" wrapText="1"/>
    </xf>
    <xf numFmtId="0" fontId="41" fillId="7" borderId="17" xfId="10" quotePrefix="1" applyFont="1" applyFill="1" applyBorder="1" applyAlignment="1">
      <alignment horizontal="left" vertical="center" wrapText="1"/>
    </xf>
    <xf numFmtId="0" fontId="63" fillId="0" borderId="18" xfId="10" applyFont="1" applyBorder="1" applyAlignment="1">
      <alignment horizontal="center" vertical="center" wrapText="1"/>
    </xf>
    <xf numFmtId="0" fontId="68" fillId="0" borderId="18" xfId="10" applyFont="1" applyBorder="1" applyAlignment="1">
      <alignment horizontal="center" vertical="center" wrapText="1"/>
    </xf>
    <xf numFmtId="0" fontId="68" fillId="0" borderId="15" xfId="10" applyFont="1" applyBorder="1" applyAlignment="1">
      <alignment horizontal="center" vertical="center" wrapText="1"/>
    </xf>
    <xf numFmtId="0" fontId="69" fillId="7" borderId="32" xfId="10" applyFont="1" applyFill="1" applyBorder="1" applyAlignment="1">
      <alignment horizontal="left" vertical="center" wrapText="1"/>
    </xf>
    <xf numFmtId="0" fontId="69" fillId="7" borderId="22" xfId="10" quotePrefix="1" applyFont="1" applyFill="1" applyBorder="1" applyAlignment="1">
      <alignment horizontal="left" vertical="center" wrapText="1"/>
    </xf>
    <xf numFmtId="0" fontId="60" fillId="4" borderId="3" xfId="10" applyFont="1" applyFill="1" applyBorder="1" applyAlignment="1">
      <alignment horizontal="center" vertical="center" wrapText="1"/>
    </xf>
    <xf numFmtId="0" fontId="60" fillId="4" borderId="9" xfId="10" applyFont="1" applyFill="1" applyBorder="1" applyAlignment="1">
      <alignment horizontal="center" vertical="center" wrapText="1"/>
    </xf>
    <xf numFmtId="0" fontId="60" fillId="4" borderId="13" xfId="10" applyFont="1" applyFill="1" applyBorder="1" applyAlignment="1">
      <alignment horizontal="center" vertical="center" wrapText="1"/>
    </xf>
    <xf numFmtId="0" fontId="41" fillId="7" borderId="16" xfId="10" quotePrefix="1" applyFont="1" applyFill="1" applyBorder="1" applyAlignment="1">
      <alignment horizontal="left" vertical="center" wrapText="1"/>
    </xf>
    <xf numFmtId="0" fontId="78" fillId="4" borderId="9" xfId="10" applyFont="1" applyFill="1" applyBorder="1" applyAlignment="1">
      <alignment horizontal="center" vertical="center" wrapText="1"/>
    </xf>
    <xf numFmtId="0" fontId="43" fillId="4" borderId="19" xfId="10" applyFont="1" applyFill="1" applyBorder="1" applyAlignment="1">
      <alignment horizontal="left" vertical="center" wrapText="1"/>
    </xf>
    <xf numFmtId="0" fontId="43" fillId="4" borderId="16" xfId="10" applyFont="1" applyFill="1" applyBorder="1" applyAlignment="1">
      <alignment horizontal="left" vertical="center" wrapText="1"/>
    </xf>
    <xf numFmtId="0" fontId="77" fillId="7" borderId="17" xfId="10" applyFont="1" applyFill="1" applyBorder="1" applyAlignment="1">
      <alignment horizontal="left" vertical="center" wrapText="1"/>
    </xf>
    <xf numFmtId="0" fontId="77" fillId="7" borderId="17" xfId="10" quotePrefix="1" applyFont="1" applyFill="1" applyBorder="1" applyAlignment="1">
      <alignment horizontal="left" vertical="center" wrapText="1"/>
    </xf>
    <xf numFmtId="0" fontId="59" fillId="0" borderId="18" xfId="10" applyFont="1" applyBorder="1" applyAlignment="1">
      <alignment horizontal="left" vertical="center" wrapText="1"/>
    </xf>
    <xf numFmtId="0" fontId="59" fillId="0" borderId="9" xfId="10" applyFont="1" applyBorder="1" applyAlignment="1">
      <alignment horizontal="left" vertical="center" wrapText="1"/>
    </xf>
    <xf numFmtId="0" fontId="59" fillId="0" borderId="15" xfId="10" applyFont="1" applyBorder="1" applyAlignment="1">
      <alignment horizontal="left" vertical="center" wrapText="1"/>
    </xf>
    <xf numFmtId="0" fontId="41" fillId="7" borderId="31" xfId="10" applyFont="1" applyFill="1" applyBorder="1" applyAlignment="1">
      <alignment horizontal="left" vertical="center" wrapText="1"/>
    </xf>
    <xf numFmtId="0" fontId="63" fillId="7" borderId="23" xfId="10" applyFont="1" applyFill="1" applyBorder="1" applyAlignment="1">
      <alignment horizontal="left" vertical="center" wrapText="1"/>
    </xf>
    <xf numFmtId="0" fontId="63" fillId="7" borderId="17" xfId="10" quotePrefix="1" applyFont="1" applyFill="1" applyBorder="1" applyAlignment="1">
      <alignment horizontal="left" vertical="center" wrapText="1"/>
    </xf>
    <xf numFmtId="0" fontId="63" fillId="7" borderId="25" xfId="10" applyFont="1" applyFill="1" applyBorder="1" applyAlignment="1">
      <alignment horizontal="left" vertical="center" wrapText="1"/>
    </xf>
    <xf numFmtId="0" fontId="63" fillId="7" borderId="20" xfId="10" quotePrefix="1" applyFont="1" applyFill="1" applyBorder="1" applyAlignment="1">
      <alignment horizontal="left" vertical="center" wrapText="1"/>
    </xf>
    <xf numFmtId="0" fontId="77" fillId="7" borderId="23" xfId="10" applyFont="1" applyFill="1" applyBorder="1" applyAlignment="1">
      <alignment horizontal="left" vertical="center" wrapText="1"/>
    </xf>
    <xf numFmtId="0" fontId="62" fillId="0" borderId="18" xfId="10" applyFont="1" applyBorder="1" applyAlignment="1">
      <alignment horizontal="center" vertical="center" wrapText="1"/>
    </xf>
    <xf numFmtId="0" fontId="62" fillId="0" borderId="9" xfId="10" applyFont="1" applyBorder="1" applyAlignment="1">
      <alignment horizontal="center" vertical="center" wrapText="1"/>
    </xf>
    <xf numFmtId="0" fontId="59" fillId="0" borderId="19" xfId="10" applyFont="1" applyBorder="1" applyAlignment="1">
      <alignment horizontal="left" vertical="center" wrapText="1"/>
    </xf>
    <xf numFmtId="0" fontId="59" fillId="0" borderId="10" xfId="10" applyFont="1" applyBorder="1" applyAlignment="1">
      <alignment horizontal="left" vertical="center" wrapText="1"/>
    </xf>
    <xf numFmtId="0" fontId="41" fillId="7" borderId="70" xfId="10" applyFont="1" applyFill="1" applyBorder="1" applyAlignment="1">
      <alignment horizontal="left" vertical="center" wrapText="1"/>
    </xf>
    <xf numFmtId="0" fontId="41" fillId="7" borderId="35" xfId="10" quotePrefix="1" applyFont="1" applyFill="1" applyBorder="1" applyAlignment="1">
      <alignment horizontal="left" vertical="center" wrapText="1"/>
    </xf>
    <xf numFmtId="0" fontId="75" fillId="0" borderId="9" xfId="10" applyFont="1" applyBorder="1" applyAlignment="1">
      <alignment horizontal="center" vertical="center" wrapText="1"/>
    </xf>
    <xf numFmtId="0" fontId="41" fillId="7" borderId="20" xfId="10" applyFont="1" applyFill="1" applyBorder="1" applyAlignment="1">
      <alignment horizontal="left" vertical="center" wrapText="1"/>
    </xf>
    <xf numFmtId="0" fontId="41" fillId="7" borderId="20" xfId="10" quotePrefix="1" applyFont="1" applyFill="1" applyBorder="1" applyAlignment="1">
      <alignment horizontal="left" vertical="center" wrapText="1"/>
    </xf>
    <xf numFmtId="49" fontId="43" fillId="4" borderId="9" xfId="10" applyNumberFormat="1" applyFont="1" applyFill="1" applyBorder="1" applyAlignment="1">
      <alignment horizontal="center" vertical="center" wrapText="1"/>
    </xf>
    <xf numFmtId="0" fontId="63" fillId="4" borderId="1295" xfId="10" applyFont="1" applyFill="1" applyBorder="1" applyAlignment="1">
      <alignment horizontal="center" vertical="center" wrapText="1"/>
    </xf>
    <xf numFmtId="0" fontId="63" fillId="4" borderId="13" xfId="10" applyFont="1" applyFill="1" applyBorder="1" applyAlignment="1">
      <alignment horizontal="center" vertical="center" wrapText="1"/>
    </xf>
    <xf numFmtId="0" fontId="75" fillId="0" borderId="1196" xfId="10" applyFont="1" applyBorder="1" applyAlignment="1">
      <alignment horizontal="center" vertical="center" wrapText="1"/>
    </xf>
    <xf numFmtId="0" fontId="75" fillId="0" borderId="13" xfId="10" applyFont="1" applyBorder="1" applyAlignment="1">
      <alignment horizontal="center" vertical="center" wrapText="1"/>
    </xf>
    <xf numFmtId="0" fontId="41" fillId="0" borderId="3" xfId="10" applyFont="1" applyBorder="1" applyAlignment="1">
      <alignment horizontal="center" vertical="center" wrapText="1"/>
    </xf>
    <xf numFmtId="0" fontId="41" fillId="0" borderId="9" xfId="10" applyFont="1" applyBorder="1" applyAlignment="1">
      <alignment horizontal="center" vertical="center" wrapText="1"/>
    </xf>
    <xf numFmtId="0" fontId="41" fillId="0" borderId="15" xfId="10" applyFont="1" applyBorder="1" applyAlignment="1">
      <alignment horizontal="center" vertical="center" wrapText="1"/>
    </xf>
    <xf numFmtId="0" fontId="41" fillId="7" borderId="31" xfId="10" quotePrefix="1" applyFont="1" applyFill="1" applyBorder="1" applyAlignment="1">
      <alignment horizontal="left" vertical="center" wrapText="1"/>
    </xf>
    <xf numFmtId="0" fontId="41" fillId="7" borderId="30" xfId="10" applyFont="1" applyFill="1" applyBorder="1" applyAlignment="1">
      <alignment horizontal="left" vertical="center" wrapText="1"/>
    </xf>
    <xf numFmtId="0" fontId="41" fillId="7" borderId="1" xfId="10" applyFont="1" applyFill="1" applyBorder="1" applyAlignment="1">
      <alignment horizontal="left" vertical="center" wrapText="1"/>
    </xf>
    <xf numFmtId="0" fontId="63" fillId="7" borderId="11" xfId="10" applyFont="1" applyFill="1" applyBorder="1" applyAlignment="1">
      <alignment horizontal="left" vertical="center" wrapText="1"/>
    </xf>
    <xf numFmtId="0" fontId="63" fillId="7" borderId="31" xfId="10" applyFont="1" applyFill="1" applyBorder="1" applyAlignment="1">
      <alignment horizontal="left" vertical="center" wrapText="1"/>
    </xf>
    <xf numFmtId="0" fontId="41" fillId="7" borderId="6" xfId="10" applyFont="1" applyFill="1" applyBorder="1" applyAlignment="1">
      <alignment horizontal="left" vertical="center" wrapText="1"/>
    </xf>
    <xf numFmtId="0" fontId="41" fillId="7" borderId="4" xfId="10" applyFont="1" applyFill="1" applyBorder="1" applyAlignment="1">
      <alignment horizontal="left" vertical="center" wrapText="1"/>
    </xf>
    <xf numFmtId="0" fontId="41" fillId="7" borderId="2" xfId="10" applyFont="1" applyFill="1" applyBorder="1" applyAlignment="1">
      <alignment horizontal="left" vertical="center" wrapText="1"/>
    </xf>
    <xf numFmtId="0" fontId="41" fillId="7" borderId="7" xfId="10" applyFont="1" applyFill="1" applyBorder="1" applyAlignment="1">
      <alignment horizontal="left" vertical="center" wrapText="1"/>
    </xf>
    <xf numFmtId="49" fontId="71" fillId="4" borderId="18" xfId="10" quotePrefix="1" applyNumberFormat="1" applyFont="1" applyFill="1" applyBorder="1" applyAlignment="1">
      <alignment horizontal="center" vertical="center" wrapText="1"/>
    </xf>
    <xf numFmtId="49" fontId="71" fillId="4" borderId="9" xfId="10" quotePrefix="1" applyNumberFormat="1" applyFont="1" applyFill="1" applyBorder="1" applyAlignment="1">
      <alignment horizontal="center" vertical="center" wrapText="1"/>
    </xf>
    <xf numFmtId="49" fontId="71" fillId="4" borderId="15" xfId="10" quotePrefix="1" applyNumberFormat="1" applyFont="1" applyFill="1" applyBorder="1" applyAlignment="1">
      <alignment horizontal="center" vertical="center" wrapText="1"/>
    </xf>
    <xf numFmtId="0" fontId="71" fillId="0" borderId="18" xfId="10" applyFont="1" applyBorder="1" applyAlignment="1">
      <alignment horizontal="center" vertical="center" wrapText="1"/>
    </xf>
    <xf numFmtId="0" fontId="71" fillId="0" borderId="13" xfId="10" applyFont="1" applyBorder="1" applyAlignment="1">
      <alignment horizontal="center" vertical="center" wrapText="1"/>
    </xf>
    <xf numFmtId="0" fontId="71" fillId="0" borderId="3" xfId="10" applyFont="1" applyBorder="1" applyAlignment="1">
      <alignment horizontal="center" vertical="center" wrapText="1"/>
    </xf>
    <xf numFmtId="0" fontId="71" fillId="0" borderId="9" xfId="10" applyFont="1" applyBorder="1" applyAlignment="1">
      <alignment horizontal="center" vertical="center" wrapText="1"/>
    </xf>
    <xf numFmtId="0" fontId="52" fillId="0" borderId="9" xfId="8" applyBorder="1" applyAlignment="1">
      <alignment horizontal="center" vertical="center" wrapText="1"/>
    </xf>
    <xf numFmtId="0" fontId="52" fillId="0" borderId="15" xfId="8" applyBorder="1" applyAlignment="1">
      <alignment horizontal="center" vertical="center" wrapText="1"/>
    </xf>
    <xf numFmtId="0" fontId="69" fillId="4" borderId="9" xfId="10" applyFont="1" applyFill="1" applyBorder="1" applyAlignment="1">
      <alignment horizontal="center" vertical="center" wrapText="1"/>
    </xf>
    <xf numFmtId="0" fontId="63" fillId="7" borderId="24" xfId="10" applyFont="1" applyFill="1" applyBorder="1" applyAlignment="1">
      <alignment horizontal="left" vertical="center" wrapText="1"/>
    </xf>
    <xf numFmtId="0" fontId="63" fillId="7" borderId="30" xfId="10" applyFont="1" applyFill="1" applyBorder="1" applyAlignment="1">
      <alignment horizontal="left" vertical="center" wrapText="1"/>
    </xf>
    <xf numFmtId="0" fontId="69" fillId="7" borderId="34" xfId="10" quotePrefix="1" applyFont="1" applyFill="1" applyBorder="1" applyAlignment="1">
      <alignment horizontal="left" vertical="center" wrapText="1"/>
    </xf>
    <xf numFmtId="0" fontId="55" fillId="0" borderId="3" xfId="10" applyFont="1" applyBorder="1" applyAlignment="1">
      <alignment horizontal="center" vertical="center" wrapText="1"/>
    </xf>
    <xf numFmtId="0" fontId="55" fillId="0" borderId="9" xfId="10" applyFont="1" applyBorder="1" applyAlignment="1">
      <alignment horizontal="center" vertical="center" wrapText="1"/>
    </xf>
    <xf numFmtId="0" fontId="69" fillId="7" borderId="14" xfId="10" applyFont="1" applyFill="1" applyBorder="1" applyAlignment="1">
      <alignment horizontal="left" vertical="center" wrapText="1"/>
    </xf>
    <xf numFmtId="0" fontId="41" fillId="7" borderId="1" xfId="10" quotePrefix="1" applyFont="1" applyFill="1" applyBorder="1" applyAlignment="1">
      <alignment horizontal="left" vertical="center" wrapText="1"/>
    </xf>
    <xf numFmtId="0" fontId="41" fillId="7" borderId="0" xfId="10" applyFont="1" applyFill="1" applyAlignment="1">
      <alignment horizontal="left" vertical="center" wrapText="1"/>
    </xf>
    <xf numFmtId="0" fontId="41" fillId="7" borderId="0" xfId="10" quotePrefix="1" applyFont="1" applyFill="1" applyAlignment="1">
      <alignment horizontal="left" vertical="center" wrapText="1"/>
    </xf>
    <xf numFmtId="0" fontId="41" fillId="7" borderId="22" xfId="10" applyFont="1" applyFill="1" applyBorder="1" applyAlignment="1">
      <alignment horizontal="left" vertical="center" wrapText="1"/>
    </xf>
    <xf numFmtId="0" fontId="43" fillId="0" borderId="18" xfId="10" applyFont="1" applyBorder="1" applyAlignment="1">
      <alignment horizontal="left" vertical="center"/>
    </xf>
    <xf numFmtId="0" fontId="43" fillId="0" borderId="15" xfId="10" applyFont="1" applyBorder="1" applyAlignment="1">
      <alignment horizontal="left" vertical="center"/>
    </xf>
    <xf numFmtId="0" fontId="41" fillId="7" borderId="25" xfId="10" applyFont="1" applyFill="1" applyBorder="1" applyAlignment="1">
      <alignment horizontal="left" vertical="center" wrapText="1"/>
    </xf>
    <xf numFmtId="0" fontId="41" fillId="7" borderId="27" xfId="10" applyFont="1" applyFill="1" applyBorder="1" applyAlignment="1">
      <alignment horizontal="left" vertical="center" wrapText="1"/>
    </xf>
    <xf numFmtId="0" fontId="41" fillId="0" borderId="18" xfId="10" applyFont="1" applyBorder="1" applyAlignment="1">
      <alignment horizontal="center" vertical="center" wrapText="1"/>
    </xf>
    <xf numFmtId="0" fontId="40" fillId="0" borderId="71" xfId="10" quotePrefix="1" applyFont="1" applyBorder="1" applyAlignment="1">
      <alignment horizontal="center" vertical="center" wrapText="1"/>
    </xf>
    <xf numFmtId="0" fontId="40" fillId="0" borderId="62" xfId="10" quotePrefix="1" applyFont="1" applyBorder="1" applyAlignment="1">
      <alignment horizontal="center" vertical="center" wrapText="1"/>
    </xf>
    <xf numFmtId="0" fontId="40" fillId="0" borderId="38" xfId="10" quotePrefix="1" applyFont="1" applyBorder="1" applyAlignment="1">
      <alignment horizontal="center" vertical="center" wrapText="1"/>
    </xf>
    <xf numFmtId="0" fontId="41" fillId="7" borderId="36" xfId="10" applyFont="1" applyFill="1" applyBorder="1" applyAlignment="1">
      <alignment horizontal="left" vertical="center" wrapText="1"/>
    </xf>
    <xf numFmtId="0" fontId="41" fillId="7" borderId="60" xfId="10" quotePrefix="1" applyFont="1" applyFill="1" applyBorder="1" applyAlignment="1">
      <alignment horizontal="left" vertical="center" wrapText="1"/>
    </xf>
    <xf numFmtId="0" fontId="41" fillId="0" borderId="21" xfId="10" applyFont="1" applyBorder="1" applyAlignment="1">
      <alignment horizontal="center" vertical="center" wrapText="1"/>
    </xf>
    <xf numFmtId="0" fontId="41" fillId="0" borderId="26" xfId="10" applyFont="1" applyBorder="1" applyAlignment="1">
      <alignment horizontal="center" vertical="center" wrapText="1"/>
    </xf>
    <xf numFmtId="0" fontId="43" fillId="4" borderId="21" xfId="10" quotePrefix="1" applyFont="1" applyFill="1" applyBorder="1" applyAlignment="1">
      <alignment horizontal="center" vertical="center" wrapText="1"/>
    </xf>
    <xf numFmtId="0" fontId="43" fillId="4" borderId="26" xfId="10" quotePrefix="1" applyFont="1" applyFill="1" applyBorder="1" applyAlignment="1">
      <alignment horizontal="center" vertical="center" wrapText="1"/>
    </xf>
    <xf numFmtId="0" fontId="63" fillId="7" borderId="27" xfId="10" applyFont="1" applyFill="1" applyBorder="1" applyAlignment="1">
      <alignment horizontal="left" vertical="center" wrapText="1"/>
    </xf>
    <xf numFmtId="0" fontId="63" fillId="7" borderId="27" xfId="10" quotePrefix="1" applyFont="1" applyFill="1" applyBorder="1" applyAlignment="1">
      <alignment horizontal="left" vertical="center" wrapText="1"/>
    </xf>
    <xf numFmtId="0" fontId="60" fillId="0" borderId="3" xfId="10" quotePrefix="1" applyFont="1" applyBorder="1" applyAlignment="1">
      <alignment horizontal="center" vertical="center" wrapText="1"/>
    </xf>
    <xf numFmtId="0" fontId="60" fillId="0" borderId="9" xfId="10" quotePrefix="1" applyFont="1" applyBorder="1" applyAlignment="1">
      <alignment horizontal="center" vertical="center" wrapText="1"/>
    </xf>
    <xf numFmtId="0" fontId="63" fillId="4" borderId="18" xfId="10" applyFont="1" applyFill="1" applyBorder="1" applyAlignment="1">
      <alignment horizontal="center" vertical="center" wrapText="1"/>
    </xf>
    <xf numFmtId="0" fontId="40" fillId="0" borderId="3" xfId="10" quotePrefix="1" applyFont="1" applyBorder="1" applyAlignment="1">
      <alignment horizontal="center" vertical="center" wrapText="1"/>
    </xf>
    <xf numFmtId="0" fontId="40" fillId="0" borderId="9" xfId="10" quotePrefix="1" applyFont="1" applyBorder="1" applyAlignment="1">
      <alignment horizontal="center" vertical="center" wrapText="1"/>
    </xf>
    <xf numFmtId="0" fontId="40" fillId="0" borderId="13" xfId="10" quotePrefix="1" applyFont="1" applyBorder="1" applyAlignment="1">
      <alignment horizontal="center" vertical="center" wrapText="1"/>
    </xf>
    <xf numFmtId="0" fontId="41" fillId="7" borderId="60" xfId="10" applyFont="1" applyFill="1" applyBorder="1" applyAlignment="1">
      <alignment horizontal="left" vertical="center" wrapText="1"/>
    </xf>
    <xf numFmtId="49" fontId="41" fillId="7" borderId="28" xfId="10" applyNumberFormat="1" applyFont="1" applyFill="1" applyBorder="1" applyAlignment="1">
      <alignment horizontal="left" vertical="center" wrapText="1"/>
    </xf>
    <xf numFmtId="49" fontId="41" fillId="7" borderId="70" xfId="10" applyNumberFormat="1" applyFont="1" applyFill="1" applyBorder="1" applyAlignment="1">
      <alignment horizontal="left" vertical="center" wrapText="1"/>
    </xf>
    <xf numFmtId="49" fontId="41" fillId="7" borderId="35" xfId="10" applyNumberFormat="1" applyFont="1" applyFill="1" applyBorder="1" applyAlignment="1">
      <alignment horizontal="left" vertical="center" wrapText="1"/>
    </xf>
    <xf numFmtId="0" fontId="41" fillId="7" borderId="30" xfId="10" quotePrefix="1" applyFont="1" applyFill="1" applyBorder="1" applyAlignment="1">
      <alignment horizontal="left" vertical="center" wrapText="1"/>
    </xf>
    <xf numFmtId="49" fontId="64" fillId="0" borderId="18" xfId="10" applyNumberFormat="1" applyFont="1" applyBorder="1" applyAlignment="1">
      <alignment horizontal="center" vertical="center" wrapText="1"/>
    </xf>
    <xf numFmtId="49" fontId="64" fillId="0" borderId="9" xfId="10" applyNumberFormat="1" applyFont="1" applyBorder="1" applyAlignment="1">
      <alignment horizontal="center" vertical="center" wrapText="1"/>
    </xf>
    <xf numFmtId="49" fontId="64" fillId="0" borderId="15" xfId="10" applyNumberFormat="1" applyFont="1" applyBorder="1" applyAlignment="1">
      <alignment horizontal="center" vertical="center" wrapText="1"/>
    </xf>
    <xf numFmtId="0" fontId="41" fillId="7" borderId="11" xfId="10" applyFont="1" applyFill="1" applyBorder="1" applyAlignment="1">
      <alignment horizontal="left" vertical="center" wrapText="1"/>
    </xf>
    <xf numFmtId="0" fontId="60" fillId="0" borderId="13" xfId="10" quotePrefix="1" applyFont="1" applyBorder="1" applyAlignment="1">
      <alignment horizontal="center" vertical="center" wrapText="1"/>
    </xf>
    <xf numFmtId="0" fontId="41" fillId="0" borderId="14" xfId="10" applyFont="1" applyBorder="1" applyAlignment="1">
      <alignment horizontal="center" vertical="center" wrapText="1"/>
    </xf>
    <xf numFmtId="0" fontId="43" fillId="4" borderId="10" xfId="10" applyFont="1" applyFill="1" applyBorder="1" applyAlignment="1">
      <alignment horizontal="left" vertical="center" wrapText="1"/>
    </xf>
    <xf numFmtId="0" fontId="57" fillId="0" borderId="0" xfId="10" applyFont="1" applyAlignment="1">
      <alignment horizontal="center" vertical="center" wrapText="1"/>
    </xf>
    <xf numFmtId="0" fontId="40" fillId="13" borderId="8" xfId="10" applyFont="1" applyFill="1" applyBorder="1" applyAlignment="1">
      <alignment horizontal="center" vertical="center" wrapText="1"/>
    </xf>
    <xf numFmtId="0" fontId="40" fillId="13" borderId="2" xfId="10" applyFont="1" applyFill="1" applyBorder="1" applyAlignment="1">
      <alignment horizontal="center" vertical="center" wrapText="1"/>
    </xf>
    <xf numFmtId="10" fontId="40" fillId="13" borderId="3" xfId="10" applyNumberFormat="1" applyFont="1" applyFill="1" applyBorder="1" applyAlignment="1">
      <alignment horizontal="center" vertical="center" wrapText="1"/>
    </xf>
    <xf numFmtId="10" fontId="40" fillId="13" borderId="13" xfId="10" applyNumberFormat="1" applyFont="1" applyFill="1" applyBorder="1" applyAlignment="1">
      <alignment horizontal="center" vertical="center" wrapText="1"/>
    </xf>
    <xf numFmtId="4" fontId="40" fillId="13" borderId="3" xfId="10" applyNumberFormat="1" applyFont="1" applyFill="1" applyBorder="1" applyAlignment="1">
      <alignment horizontal="center" vertical="center" wrapText="1"/>
    </xf>
    <xf numFmtId="4" fontId="40" fillId="13" borderId="13" xfId="10" applyNumberFormat="1" applyFont="1" applyFill="1" applyBorder="1" applyAlignment="1">
      <alignment horizontal="center" vertical="center" wrapText="1"/>
    </xf>
    <xf numFmtId="0" fontId="61" fillId="6" borderId="1353" xfId="1" applyFont="1" applyFill="1" applyBorder="1" applyAlignment="1">
      <alignment horizontal="left" vertical="center"/>
    </xf>
    <xf numFmtId="0" fontId="61" fillId="6" borderId="1230" xfId="12" applyNumberFormat="1" applyFont="1" applyFill="1" applyBorder="1" applyAlignment="1" applyProtection="1">
      <alignment horizontal="left" vertical="center"/>
      <protection locked="0"/>
    </xf>
    <xf numFmtId="0" fontId="61" fillId="6" borderId="1321" xfId="12" applyNumberFormat="1" applyFont="1" applyFill="1" applyBorder="1" applyAlignment="1" applyProtection="1">
      <alignment horizontal="left" vertical="center"/>
      <protection locked="0"/>
    </xf>
    <xf numFmtId="0" fontId="43" fillId="0" borderId="23" xfId="1" applyFont="1" applyBorder="1" applyAlignment="1">
      <alignment horizontal="left" vertical="center"/>
    </xf>
    <xf numFmtId="0" fontId="43" fillId="0" borderId="166" xfId="12" applyNumberFormat="1" applyFont="1" applyFill="1" applyBorder="1" applyAlignment="1" applyProtection="1">
      <alignment horizontal="left" vertical="center"/>
      <protection locked="0"/>
    </xf>
    <xf numFmtId="0" fontId="43" fillId="0" borderId="442" xfId="12" applyNumberFormat="1" applyFont="1" applyFill="1" applyBorder="1" applyAlignment="1" applyProtection="1">
      <alignment horizontal="left" vertical="center"/>
      <protection locked="0"/>
    </xf>
    <xf numFmtId="0" fontId="41" fillId="0" borderId="1354" xfId="1" applyFont="1" applyBorder="1" applyAlignment="1">
      <alignment horizontal="left" vertical="center" wrapText="1"/>
    </xf>
    <xf numFmtId="0" fontId="41" fillId="0" borderId="1355" xfId="12" applyNumberFormat="1" applyFont="1" applyFill="1" applyBorder="1" applyAlignment="1" applyProtection="1">
      <alignment horizontal="left" vertical="center"/>
      <protection locked="0"/>
    </xf>
    <xf numFmtId="0" fontId="41" fillId="0" borderId="1356" xfId="12" applyNumberFormat="1" applyFont="1" applyFill="1" applyBorder="1" applyAlignment="1" applyProtection="1">
      <alignment horizontal="left" vertical="center"/>
      <protection locked="0"/>
    </xf>
    <xf numFmtId="0" fontId="43" fillId="0" borderId="1354" xfId="1" applyFont="1" applyBorder="1" applyAlignment="1">
      <alignment horizontal="left" vertical="center"/>
    </xf>
    <xf numFmtId="0" fontId="43" fillId="0" borderId="1355" xfId="12" applyNumberFormat="1" applyFont="1" applyFill="1" applyBorder="1" applyAlignment="1" applyProtection="1">
      <alignment horizontal="left" vertical="center"/>
      <protection locked="0"/>
    </xf>
    <xf numFmtId="0" fontId="43" fillId="0" borderId="1356" xfId="12" applyNumberFormat="1" applyFont="1" applyFill="1" applyBorder="1" applyAlignment="1" applyProtection="1">
      <alignment horizontal="left" vertical="center"/>
      <protection locked="0"/>
    </xf>
    <xf numFmtId="0" fontId="43" fillId="0" borderId="32" xfId="1" applyFont="1" applyBorder="1" applyAlignment="1">
      <alignment horizontal="left" vertical="center"/>
    </xf>
    <xf numFmtId="0" fontId="43" fillId="0" borderId="1358" xfId="12" applyNumberFormat="1" applyFont="1" applyFill="1" applyBorder="1" applyAlignment="1" applyProtection="1">
      <alignment horizontal="left" vertical="center"/>
      <protection locked="0"/>
    </xf>
    <xf numFmtId="0" fontId="43" fillId="0" borderId="1359" xfId="12" applyNumberFormat="1" applyFont="1" applyFill="1" applyBorder="1" applyAlignment="1" applyProtection="1">
      <alignment horizontal="left" vertical="center"/>
      <protection locked="0"/>
    </xf>
    <xf numFmtId="0" fontId="41" fillId="0" borderId="1331" xfId="1" applyFont="1" applyBorder="1" applyAlignment="1">
      <alignment horizontal="left" vertical="center" wrapText="1"/>
    </xf>
    <xf numFmtId="0" fontId="41" fillId="0" borderId="1243" xfId="12" applyNumberFormat="1" applyFont="1" applyFill="1" applyBorder="1" applyAlignment="1" applyProtection="1">
      <alignment horizontal="left" vertical="center"/>
      <protection locked="0"/>
    </xf>
    <xf numFmtId="0" fontId="41" fillId="0" borderId="1349" xfId="12" applyNumberFormat="1" applyFont="1" applyFill="1" applyBorder="1" applyAlignment="1" applyProtection="1">
      <alignment horizontal="left" vertical="center"/>
      <protection locked="0"/>
    </xf>
    <xf numFmtId="0" fontId="43" fillId="0" borderId="1331" xfId="1" applyFont="1" applyBorder="1" applyAlignment="1">
      <alignment horizontal="left" vertical="center"/>
    </xf>
    <xf numFmtId="0" fontId="43" fillId="0" borderId="1243" xfId="12" applyNumberFormat="1" applyFont="1" applyFill="1" applyBorder="1" applyAlignment="1" applyProtection="1">
      <alignment horizontal="left" vertical="center"/>
      <protection locked="0"/>
    </xf>
    <xf numFmtId="0" fontId="43" fillId="0" borderId="1349" xfId="12" applyNumberFormat="1" applyFont="1" applyFill="1" applyBorder="1" applyAlignment="1" applyProtection="1">
      <alignment horizontal="left" vertical="center"/>
      <protection locked="0"/>
    </xf>
    <xf numFmtId="0" fontId="43" fillId="0" borderId="1331" xfId="1" applyFont="1" applyBorder="1" applyAlignment="1">
      <alignment horizontal="left" vertical="center" wrapText="1"/>
    </xf>
    <xf numFmtId="0" fontId="43" fillId="0" borderId="1350" xfId="1" applyFont="1" applyBorder="1" applyAlignment="1">
      <alignment horizontal="left" vertical="center"/>
    </xf>
    <xf numFmtId="0" fontId="43" fillId="0" borderId="269" xfId="12" applyNumberFormat="1" applyFont="1" applyFill="1" applyBorder="1" applyAlignment="1" applyProtection="1">
      <alignment horizontal="left" vertical="center"/>
      <protection locked="0"/>
    </xf>
    <xf numFmtId="0" fontId="43" fillId="0" borderId="1351" xfId="12" applyNumberFormat="1" applyFont="1" applyFill="1" applyBorder="1" applyAlignment="1" applyProtection="1">
      <alignment horizontal="left" vertical="center"/>
      <protection locked="0"/>
    </xf>
    <xf numFmtId="49" fontId="40" fillId="17" borderId="1343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344" xfId="12" applyNumberFormat="1" applyFont="1" applyFill="1" applyBorder="1" applyAlignment="1" applyProtection="1">
      <alignment horizontal="center" vertical="center" wrapText="1"/>
      <protection locked="0"/>
    </xf>
    <xf numFmtId="49" fontId="40" fillId="17" borderId="1345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11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1" xfId="12" applyNumberFormat="1" applyFont="1" applyFill="1" applyBorder="1" applyAlignment="1" applyProtection="1">
      <alignment horizontal="center" vertical="center" wrapText="1"/>
      <protection locked="0"/>
    </xf>
    <xf numFmtId="49" fontId="40" fillId="15" borderId="1343" xfId="12" applyNumberFormat="1" applyFont="1" applyFill="1" applyBorder="1" applyAlignment="1" applyProtection="1">
      <alignment horizontal="center" vertical="top" wrapText="1"/>
      <protection locked="0"/>
    </xf>
    <xf numFmtId="49" fontId="40" fillId="15" borderId="1344" xfId="12" applyNumberFormat="1" applyFont="1" applyFill="1" applyBorder="1" applyAlignment="1" applyProtection="1">
      <alignment horizontal="center" vertical="top" wrapText="1"/>
      <protection locked="0"/>
    </xf>
    <xf numFmtId="49" fontId="61" fillId="6" borderId="1347" xfId="1" applyNumberFormat="1" applyFont="1" applyFill="1" applyBorder="1" applyAlignment="1">
      <alignment horizontal="left" vertical="center"/>
    </xf>
    <xf numFmtId="49" fontId="61" fillId="6" borderId="1344" xfId="1" applyNumberFormat="1" applyFont="1" applyFill="1" applyBorder="1" applyAlignment="1">
      <alignment horizontal="left" vertical="center"/>
    </xf>
    <xf numFmtId="0" fontId="41" fillId="0" borderId="1331" xfId="1" applyFont="1" applyBorder="1" applyAlignment="1">
      <alignment horizontal="left" vertical="center"/>
    </xf>
    <xf numFmtId="49" fontId="40" fillId="0" borderId="1330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33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3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35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304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335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338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29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3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47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261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262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1309" xfId="12" applyNumberFormat="1" applyFont="1" applyFill="1" applyBorder="1" applyAlignment="1" applyProtection="1">
      <alignment horizontal="left" vertical="center"/>
      <protection locked="0"/>
    </xf>
    <xf numFmtId="0" fontId="41" fillId="0" borderId="1326" xfId="12" applyNumberFormat="1" applyFont="1" applyFill="1" applyBorder="1" applyAlignment="1" applyProtection="1">
      <alignment horizontal="left" vertical="center"/>
      <protection locked="0"/>
    </xf>
    <xf numFmtId="49" fontId="41" fillId="16" borderId="1330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32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330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32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33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2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31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251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36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3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1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19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24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04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188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31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258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1304" xfId="12" applyNumberFormat="1" applyFont="1" applyFill="1" applyBorder="1" applyAlignment="1" applyProtection="1">
      <alignment horizontal="left" vertical="center"/>
      <protection locked="0"/>
    </xf>
    <xf numFmtId="49" fontId="41" fillId="16" borderId="125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309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310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252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692" xfId="12" applyNumberFormat="1" applyFont="1" applyFill="1" applyBorder="1" applyAlignment="1" applyProtection="1">
      <alignment horizontal="left" vertical="center"/>
      <protection locked="0"/>
    </xf>
    <xf numFmtId="49" fontId="41" fillId="16" borderId="130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5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6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0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67" xfId="12" applyNumberFormat="1" applyFont="1" applyFill="1" applyBorder="1" applyAlignment="1" applyProtection="1">
      <alignment horizontal="center" vertical="center" wrapText="1"/>
      <protection locked="0"/>
    </xf>
    <xf numFmtId="49" fontId="41" fillId="16" borderId="1263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1249" xfId="11" applyFont="1" applyBorder="1" applyAlignment="1">
      <alignment horizontal="left" vertical="center" wrapText="1"/>
    </xf>
    <xf numFmtId="49" fontId="40" fillId="19" borderId="1196" xfId="12" applyNumberFormat="1" applyFont="1" applyFill="1" applyBorder="1" applyAlignment="1" applyProtection="1">
      <alignment horizontal="center" vertical="center" wrapText="1"/>
      <protection locked="0"/>
    </xf>
    <xf numFmtId="49" fontId="40" fillId="19" borderId="1208" xfId="12" applyNumberFormat="1" applyFont="1" applyFill="1" applyBorder="1" applyAlignment="1" applyProtection="1">
      <alignment horizontal="center" vertical="center" wrapText="1"/>
      <protection locked="0"/>
    </xf>
    <xf numFmtId="49" fontId="40" fillId="19" borderId="13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125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5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58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692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692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69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5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4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6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6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208" xfId="12" applyNumberFormat="1" applyFont="1" applyFill="1" applyBorder="1" applyAlignment="1" applyProtection="1">
      <alignment horizontal="center" vertical="center" wrapText="1"/>
      <protection locked="0"/>
    </xf>
    <xf numFmtId="49" fontId="41" fillId="0" borderId="1252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155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27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9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08" xfId="12" applyNumberFormat="1" applyFont="1" applyFill="1" applyBorder="1" applyAlignment="1" applyProtection="1">
      <alignment horizontal="center" vertical="center" wrapText="1"/>
      <protection locked="0"/>
    </xf>
    <xf numFmtId="0" fontId="89" fillId="0" borderId="1258" xfId="11" applyFont="1" applyBorder="1" applyAlignment="1">
      <alignment horizontal="left" vertical="center" wrapText="1"/>
    </xf>
    <xf numFmtId="49" fontId="41" fillId="16" borderId="1155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165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18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82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128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42" xfId="12" applyNumberFormat="1" applyFont="1" applyFill="1" applyBorder="1" applyAlignment="1" applyProtection="1">
      <alignment horizontal="left" vertical="center" wrapText="1"/>
      <protection locked="0"/>
    </xf>
    <xf numFmtId="0" fontId="91" fillId="0" borderId="1258" xfId="11" applyFont="1" applyBorder="1" applyAlignment="1">
      <alignment horizontal="left" vertical="center" wrapText="1"/>
    </xf>
    <xf numFmtId="0" fontId="91" fillId="0" borderId="692" xfId="11" applyFont="1" applyBorder="1" applyAlignment="1">
      <alignment horizontal="left" vertical="center" wrapText="1"/>
    </xf>
    <xf numFmtId="49" fontId="43" fillId="16" borderId="126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52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155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249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692" xfId="11" applyFont="1" applyBorder="1" applyAlignment="1">
      <alignment horizontal="left" vertical="center" wrapText="1"/>
    </xf>
    <xf numFmtId="49" fontId="40" fillId="0" borderId="1263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0" xfId="11" applyFont="1" applyAlignment="1">
      <alignment horizontal="left" vertical="center" wrapText="1"/>
    </xf>
    <xf numFmtId="49" fontId="43" fillId="0" borderId="1268" xfId="12" applyNumberFormat="1" applyFont="1" applyFill="1" applyBorder="1" applyAlignment="1" applyProtection="1">
      <alignment horizontal="left" vertical="center" wrapText="1"/>
      <protection locked="0"/>
    </xf>
    <xf numFmtId="49" fontId="41" fillId="0" borderId="126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247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1234" xfId="12" applyNumberFormat="1" applyFont="1" applyFill="1" applyBorder="1" applyAlignment="1" applyProtection="1">
      <alignment horizontal="left" vertical="center"/>
      <protection locked="0"/>
    </xf>
    <xf numFmtId="0" fontId="41" fillId="0" borderId="269" xfId="12" applyNumberFormat="1" applyFont="1" applyFill="1" applyBorder="1" applyAlignment="1" applyProtection="1">
      <alignment horizontal="left" vertical="center"/>
      <protection locked="0"/>
    </xf>
    <xf numFmtId="49" fontId="43" fillId="16" borderId="125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57" xfId="12" applyNumberFormat="1" applyFont="1" applyFill="1" applyBorder="1" applyAlignment="1" applyProtection="1">
      <alignment horizontal="center" vertical="center" wrapText="1"/>
      <protection locked="0"/>
    </xf>
    <xf numFmtId="49" fontId="41" fillId="16" borderId="1197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20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190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20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9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3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197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1235" xfId="12" applyNumberFormat="1" applyFont="1" applyFill="1" applyBorder="1" applyAlignment="1" applyProtection="1">
      <alignment horizontal="left" vertical="center"/>
      <protection locked="0"/>
    </xf>
    <xf numFmtId="49" fontId="41" fillId="16" borderId="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0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2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203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1203" xfId="11" applyFont="1" applyBorder="1" applyAlignment="1">
      <alignment horizontal="left" vertical="center" wrapText="1"/>
    </xf>
    <xf numFmtId="49" fontId="43" fillId="0" borderId="0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206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190" xfId="12" applyNumberFormat="1" applyFont="1" applyFill="1" applyBorder="1" applyAlignment="1" applyProtection="1">
      <alignment horizontal="left" vertical="center" wrapText="1"/>
      <protection locked="0"/>
    </xf>
    <xf numFmtId="49" fontId="40" fillId="19" borderId="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179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09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6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168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12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99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12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4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50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1152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15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5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5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6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6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11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1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20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136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12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3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123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1124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1137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1123" xfId="11" applyFont="1" applyBorder="1" applyAlignment="1">
      <alignment horizontal="left" vertical="center" wrapText="1"/>
    </xf>
    <xf numFmtId="49" fontId="43" fillId="16" borderId="9" xfId="12" applyNumberFormat="1" applyFont="1" applyFill="1" applyBorder="1" applyAlignment="1" applyProtection="1">
      <alignment horizontal="center" vertical="center" wrapText="1"/>
      <protection locked="0"/>
    </xf>
    <xf numFmtId="49" fontId="40" fillId="0" borderId="1115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11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099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69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97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98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1099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107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051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6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06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65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065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1065" xfId="11" applyFont="1" applyBorder="1" applyAlignment="1">
      <alignment horizontal="left" vertical="center" wrapText="1"/>
    </xf>
    <xf numFmtId="49" fontId="43" fillId="0" borderId="107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942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968" xfId="12" applyNumberFormat="1" applyFont="1" applyFill="1" applyBorder="1" applyAlignment="1" applyProtection="1">
      <alignment horizontal="left" vertical="center"/>
      <protection locked="0"/>
    </xf>
    <xf numFmtId="49" fontId="41" fillId="16" borderId="104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05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05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5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9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67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379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5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024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025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379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5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3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3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99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6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3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93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59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936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936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941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947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1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28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918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92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1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2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84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916" xfId="12" applyNumberFormat="1" applyFont="1" applyFill="1" applyBorder="1" applyAlignment="1" applyProtection="1">
      <alignment horizontal="left" vertical="center"/>
      <protection locked="0"/>
    </xf>
    <xf numFmtId="49" fontId="43" fillId="16" borderId="924" xfId="12" applyNumberFormat="1" applyFont="1" applyFill="1" applyBorder="1" applyAlignment="1" applyProtection="1">
      <alignment horizontal="center" vertical="center" wrapText="1"/>
      <protection locked="0"/>
    </xf>
    <xf numFmtId="49" fontId="41" fillId="16" borderId="884" xfId="12" applyNumberFormat="1" applyFont="1" applyFill="1" applyBorder="1" applyAlignment="1" applyProtection="1">
      <alignment horizontal="left" vertical="center" wrapText="1"/>
      <protection locked="0"/>
    </xf>
    <xf numFmtId="49" fontId="67" fillId="0" borderId="9" xfId="12" applyNumberFormat="1" applyFont="1" applyFill="1" applyBorder="1" applyAlignment="1" applyProtection="1">
      <alignment horizontal="center" vertical="center" wrapText="1"/>
      <protection locked="0"/>
    </xf>
    <xf numFmtId="49" fontId="81" fillId="0" borderId="692" xfId="12" applyNumberFormat="1" applyFont="1" applyFill="1" applyBorder="1" applyAlignment="1" applyProtection="1">
      <alignment horizontal="left" vertical="center" wrapText="1"/>
      <protection locked="0"/>
    </xf>
    <xf numFmtId="49" fontId="67" fillId="0" borderId="884" xfId="12" applyNumberFormat="1" applyFont="1" applyFill="1" applyBorder="1" applyAlignment="1" applyProtection="1">
      <alignment horizontal="left" vertical="center" wrapText="1"/>
      <protection locked="0"/>
    </xf>
    <xf numFmtId="0" fontId="69" fillId="0" borderId="14" xfId="12" applyNumberFormat="1" applyFont="1" applyFill="1" applyBorder="1" applyAlignment="1" applyProtection="1">
      <alignment horizontal="left" vertical="center"/>
      <protection locked="0"/>
    </xf>
    <xf numFmtId="0" fontId="69" fillId="0" borderId="0" xfId="12" applyNumberFormat="1" applyFont="1" applyFill="1" applyBorder="1" applyAlignment="1" applyProtection="1">
      <alignment horizontal="left" vertical="center"/>
      <protection locked="0"/>
    </xf>
    <xf numFmtId="0" fontId="69" fillId="0" borderId="10" xfId="12" applyNumberFormat="1" applyFont="1" applyFill="1" applyBorder="1" applyAlignment="1" applyProtection="1">
      <alignment horizontal="left" vertical="center"/>
      <protection locked="0"/>
    </xf>
    <xf numFmtId="49" fontId="69" fillId="0" borderId="88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0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6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0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90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84" xfId="12" applyNumberFormat="1" applyFont="1" applyFill="1" applyBorder="1" applyAlignment="1" applyProtection="1">
      <alignment horizontal="left" vertical="center" wrapText="1"/>
      <protection locked="0"/>
    </xf>
    <xf numFmtId="49" fontId="40" fillId="19" borderId="692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884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884" xfId="11" applyFont="1" applyBorder="1" applyAlignment="1">
      <alignment horizontal="left" vertical="center" wrapText="1"/>
    </xf>
    <xf numFmtId="49" fontId="43" fillId="4" borderId="9" xfId="12" applyNumberFormat="1" applyFont="1" applyFill="1" applyBorder="1" applyAlignment="1" applyProtection="1">
      <alignment horizontal="center" vertical="center" wrapText="1"/>
      <protection locked="0"/>
    </xf>
    <xf numFmtId="49" fontId="43" fillId="4" borderId="13" xfId="12" applyNumberFormat="1" applyFont="1" applyFill="1" applyBorder="1" applyAlignment="1" applyProtection="1">
      <alignment horizontal="center" vertical="center" wrapText="1"/>
      <protection locked="0"/>
    </xf>
    <xf numFmtId="49" fontId="40" fillId="0" borderId="24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880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799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82" xfId="12" applyNumberFormat="1" applyFont="1" applyFill="1" applyBorder="1" applyAlignment="1" applyProtection="1">
      <alignment horizontal="left" vertical="center" wrapText="1"/>
      <protection locked="0"/>
    </xf>
    <xf numFmtId="49" fontId="61" fillId="0" borderId="9" xfId="12" applyNumberFormat="1" applyFont="1" applyFill="1" applyBorder="1" applyAlignment="1" applyProtection="1">
      <alignment horizontal="center" vertical="center" wrapText="1"/>
      <protection locked="0"/>
    </xf>
    <xf numFmtId="49" fontId="61" fillId="0" borderId="13" xfId="12" applyNumberFormat="1" applyFont="1" applyFill="1" applyBorder="1" applyAlignment="1" applyProtection="1">
      <alignment horizontal="center" vertical="center" wrapText="1"/>
      <protection locked="0"/>
    </xf>
    <xf numFmtId="49" fontId="61" fillId="0" borderId="799" xfId="12" applyNumberFormat="1" applyFont="1" applyFill="1" applyBorder="1" applyAlignment="1" applyProtection="1">
      <alignment horizontal="center" vertical="center" wrapText="1"/>
      <protection locked="0"/>
    </xf>
    <xf numFmtId="49" fontId="61" fillId="0" borderId="882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874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874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874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874" xfId="11" applyFont="1" applyBorder="1" applyAlignment="1">
      <alignment horizontal="left" vertical="center" wrapText="1"/>
    </xf>
    <xf numFmtId="49" fontId="40" fillId="16" borderId="799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87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61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40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86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65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76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9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6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3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43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856" xfId="12" applyNumberFormat="1" applyFont="1" applyFill="1" applyBorder="1" applyAlignment="1" applyProtection="1">
      <alignment horizontal="left" vertical="center" wrapText="1"/>
      <protection locked="0"/>
    </xf>
    <xf numFmtId="0" fontId="91" fillId="0" borderId="856" xfId="11" applyFont="1" applyBorder="1" applyAlignment="1">
      <alignment horizontal="left" vertical="center" wrapText="1"/>
    </xf>
    <xf numFmtId="49" fontId="43" fillId="16" borderId="843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843" xfId="11" applyFont="1" applyBorder="1" applyAlignment="1">
      <alignment horizontal="left" vertical="center" wrapText="1"/>
    </xf>
    <xf numFmtId="49" fontId="40" fillId="0" borderId="859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837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860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84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5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5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3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36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843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687" xfId="12" applyNumberFormat="1" applyFont="1" applyFill="1" applyBorder="1" applyAlignment="1" applyProtection="1">
      <alignment horizontal="center" vertical="center" wrapText="1"/>
      <protection locked="0"/>
    </xf>
    <xf numFmtId="49" fontId="40" fillId="0" borderId="225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816" xfId="12" applyNumberFormat="1" applyFont="1" applyFill="1" applyBorder="1" applyAlignment="1" applyProtection="1">
      <alignment horizontal="left" vertical="center"/>
      <protection locked="0"/>
    </xf>
    <xf numFmtId="49" fontId="41" fillId="16" borderId="81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1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06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816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816" xfId="11" applyFont="1" applyBorder="1" applyAlignment="1">
      <alignment horizontal="left" vertical="center" wrapText="1"/>
    </xf>
    <xf numFmtId="49" fontId="43" fillId="0" borderId="792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792" xfId="12" applyNumberFormat="1" applyFont="1" applyFill="1" applyBorder="1" applyAlignment="1" applyProtection="1">
      <alignment horizontal="left" vertical="center"/>
      <protection locked="0"/>
    </xf>
    <xf numFmtId="49" fontId="41" fillId="16" borderId="79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0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68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792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792" xfId="11" applyFont="1" applyBorder="1" applyAlignment="1">
      <alignment horizontal="left" vertical="center" wrapText="1"/>
    </xf>
    <xf numFmtId="49" fontId="43" fillId="0" borderId="763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760" xfId="12" applyNumberFormat="1" applyFont="1" applyFill="1" applyBorder="1" applyAlignment="1" applyProtection="1">
      <alignment horizontal="left" vertical="center"/>
      <protection locked="0"/>
    </xf>
    <xf numFmtId="49" fontId="43" fillId="0" borderId="66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9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9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60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760" xfId="11" applyFont="1" applyBorder="1" applyAlignment="1">
      <alignment horizontal="left" vertical="center" wrapText="1"/>
    </xf>
    <xf numFmtId="49" fontId="41" fillId="16" borderId="662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662" xfId="12" applyNumberFormat="1" applyFont="1" applyFill="1" applyBorder="1" applyAlignment="1" applyProtection="1">
      <alignment horizontal="left" vertical="center"/>
      <protection locked="0"/>
    </xf>
    <xf numFmtId="49" fontId="43" fillId="16" borderId="60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3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62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732" xfId="12" applyNumberFormat="1" applyFont="1" applyFill="1" applyBorder="1" applyAlignment="1" applyProtection="1">
      <alignment horizontal="left" vertical="center"/>
      <protection locked="0"/>
    </xf>
    <xf numFmtId="49" fontId="40" fillId="16" borderId="584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58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8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730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707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709" xfId="11" applyFont="1" applyBorder="1" applyAlignment="1">
      <alignment horizontal="left" vertical="center" wrapText="1"/>
    </xf>
    <xf numFmtId="49" fontId="40" fillId="0" borderId="720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721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721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72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25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726" xfId="11" applyFont="1" applyBorder="1" applyAlignment="1">
      <alignment horizontal="left" vertical="center" wrapText="1"/>
    </xf>
    <xf numFmtId="49" fontId="40" fillId="0" borderId="707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70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5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0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2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684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78" xfId="12" applyNumberFormat="1" applyFont="1" applyFill="1" applyBorder="1" applyAlignment="1" applyProtection="1">
      <alignment horizontal="left" vertical="center" wrapText="1"/>
      <protection locked="0"/>
    </xf>
    <xf numFmtId="0" fontId="91" fillId="0" borderId="78" xfId="11" applyFont="1" applyBorder="1" applyAlignment="1">
      <alignment horizontal="left" vertical="center" wrapText="1"/>
    </xf>
    <xf numFmtId="0" fontId="89" fillId="0" borderId="662" xfId="11" applyFont="1" applyBorder="1" applyAlignment="1">
      <alignment horizontal="left" vertical="center" wrapText="1"/>
    </xf>
    <xf numFmtId="49" fontId="40" fillId="0" borderId="78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253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6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78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78" xfId="11" applyFont="1" applyBorder="1" applyAlignment="1">
      <alignment horizontal="left" vertical="center" wrapText="1"/>
    </xf>
    <xf numFmtId="0" fontId="89" fillId="0" borderId="9" xfId="11" applyFont="1" applyBorder="1" applyAlignment="1">
      <alignment horizontal="center" vertical="center" wrapText="1"/>
    </xf>
    <xf numFmtId="49" fontId="40" fillId="0" borderId="9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5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4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0" xfId="12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11" applyFont="1" applyAlignment="1">
      <alignment vertical="center"/>
    </xf>
    <xf numFmtId="49" fontId="40" fillId="16" borderId="662" xfId="12" applyNumberFormat="1" applyFont="1" applyFill="1" applyBorder="1" applyAlignment="1" applyProtection="1">
      <alignment horizontal="left" vertical="center" wrapText="1"/>
      <protection locked="0"/>
    </xf>
    <xf numFmtId="0" fontId="91" fillId="0" borderId="662" xfId="11" applyFont="1" applyBorder="1" applyAlignment="1">
      <alignment horizontal="left" vertical="center" wrapText="1"/>
    </xf>
    <xf numFmtId="49" fontId="43" fillId="0" borderId="653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653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654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653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624" xfId="12" applyNumberFormat="1" applyFont="1" applyFill="1" applyBorder="1" applyAlignment="1" applyProtection="1">
      <alignment horizontal="left" vertical="center" wrapText="1"/>
      <protection locked="0"/>
    </xf>
    <xf numFmtId="0" fontId="91" fillId="0" borderId="632" xfId="11" applyFont="1" applyBorder="1" applyAlignment="1">
      <alignment horizontal="left" vertical="center" wrapText="1"/>
    </xf>
    <xf numFmtId="49" fontId="43" fillId="16" borderId="586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99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23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166" xfId="11" applyFont="1" applyBorder="1" applyAlignment="1">
      <alignment horizontal="left" vertical="center" wrapText="1"/>
    </xf>
    <xf numFmtId="49" fontId="43" fillId="16" borderId="59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9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599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584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586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23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5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61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5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6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569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569" xfId="12" applyNumberFormat="1" applyFont="1" applyFill="1" applyBorder="1" applyAlignment="1" applyProtection="1">
      <alignment horizontal="left" vertical="center"/>
      <protection locked="0"/>
    </xf>
    <xf numFmtId="49" fontId="41" fillId="16" borderId="569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45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3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53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551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554" xfId="12" applyNumberFormat="1" applyFont="1" applyFill="1" applyBorder="1" applyAlignment="1" applyProtection="1">
      <alignment horizontal="left" vertical="center"/>
      <protection locked="0"/>
    </xf>
    <xf numFmtId="49" fontId="41" fillId="16" borderId="7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452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78" xfId="11" applyFont="1" applyBorder="1" applyAlignment="1">
      <alignment horizontal="left" vertical="center" wrapText="1"/>
    </xf>
    <xf numFmtId="0" fontId="41" fillId="0" borderId="452" xfId="12" applyNumberFormat="1" applyFont="1" applyFill="1" applyBorder="1" applyAlignment="1" applyProtection="1">
      <alignment horizontal="left" vertical="center"/>
      <protection locked="0"/>
    </xf>
    <xf numFmtId="49" fontId="41" fillId="16" borderId="452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459" xfId="12" applyNumberFormat="1" applyFont="1" applyFill="1" applyBorder="1" applyAlignment="1" applyProtection="1">
      <alignment horizontal="left" vertical="center"/>
      <protection locked="0"/>
    </xf>
    <xf numFmtId="49" fontId="41" fillId="16" borderId="45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5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5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427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427" xfId="12" applyNumberFormat="1" applyFont="1" applyFill="1" applyBorder="1" applyAlignment="1" applyProtection="1">
      <alignment horizontal="left" vertical="center"/>
      <protection locked="0"/>
    </xf>
    <xf numFmtId="49" fontId="41" fillId="16" borderId="41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44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98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42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1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33" xfId="12" applyNumberFormat="1" applyFont="1" applyFill="1" applyBorder="1" applyAlignment="1" applyProtection="1">
      <alignment horizontal="center" vertical="center" wrapText="1"/>
      <protection locked="0"/>
    </xf>
    <xf numFmtId="49" fontId="40" fillId="19" borderId="315" xfId="12" applyNumberFormat="1" applyFont="1" applyFill="1" applyBorder="1" applyAlignment="1" applyProtection="1">
      <alignment horizontal="left" vertical="center" wrapText="1"/>
      <protection locked="0"/>
    </xf>
    <xf numFmtId="49" fontId="40" fillId="19" borderId="434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435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29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27" xfId="12" applyNumberFormat="1" applyFont="1" applyFill="1" applyBorder="1" applyAlignment="1" applyProtection="1">
      <alignment horizontal="left" vertical="center" wrapText="1"/>
      <protection locked="0"/>
    </xf>
    <xf numFmtId="49" fontId="40" fillId="19" borderId="413" xfId="12" applyNumberFormat="1" applyFont="1" applyFill="1" applyBorder="1" applyAlignment="1" applyProtection="1">
      <alignment horizontal="left" vertical="center" wrapText="1"/>
      <protection locked="0"/>
    </xf>
    <xf numFmtId="49" fontId="40" fillId="19" borderId="415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416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397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422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422" xfId="11" applyFont="1" applyBorder="1" applyAlignment="1">
      <alignment horizontal="left" vertical="center" wrapText="1"/>
    </xf>
    <xf numFmtId="49" fontId="43" fillId="0" borderId="14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422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359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35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9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9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41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414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88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4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8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90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1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1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6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65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35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59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5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76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357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35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10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301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30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0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5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55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302" xfId="12" applyNumberFormat="1" applyFont="1" applyFill="1" applyBorder="1" applyAlignment="1" applyProtection="1">
      <alignment horizontal="left" vertical="center" wrapText="1"/>
      <protection locked="0"/>
    </xf>
    <xf numFmtId="0" fontId="91" fillId="0" borderId="324" xfId="11" applyFont="1" applyBorder="1" applyAlignment="1">
      <alignment horizontal="left" vertical="center" wrapText="1"/>
    </xf>
    <xf numFmtId="49" fontId="43" fillId="16" borderId="340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301" xfId="12" applyNumberFormat="1" applyFont="1" applyFill="1" applyBorder="1" applyAlignment="1" applyProtection="1">
      <alignment horizontal="left" vertical="center"/>
      <protection locked="0"/>
    </xf>
    <xf numFmtId="49" fontId="41" fillId="16" borderId="334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30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33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336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315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319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7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48" xfId="12" applyNumberFormat="1" applyFont="1" applyFill="1" applyBorder="1" applyAlignment="1" applyProtection="1">
      <alignment horizontal="center" vertical="center" wrapText="1"/>
      <protection locked="0"/>
    </xf>
    <xf numFmtId="0" fontId="89" fillId="4" borderId="148" xfId="11" applyFont="1" applyFill="1" applyBorder="1" applyAlignment="1">
      <alignment horizontal="center" vertical="center" wrapText="1"/>
    </xf>
    <xf numFmtId="0" fontId="89" fillId="4" borderId="9" xfId="11" applyFont="1" applyFill="1" applyBorder="1" applyAlignment="1">
      <alignment horizontal="center" vertical="center" wrapText="1"/>
    </xf>
    <xf numFmtId="49" fontId="40" fillId="19" borderId="78" xfId="12" applyNumberFormat="1" applyFont="1" applyFill="1" applyBorder="1" applyAlignment="1" applyProtection="1">
      <alignment horizontal="left" vertical="center" wrapText="1"/>
      <protection locked="0"/>
    </xf>
    <xf numFmtId="49" fontId="43" fillId="19" borderId="296" xfId="12" applyNumberFormat="1" applyFont="1" applyFill="1" applyBorder="1" applyAlignment="1" applyProtection="1">
      <alignment horizontal="left" vertical="center" wrapText="1"/>
      <protection locked="0"/>
    </xf>
    <xf numFmtId="0" fontId="89" fillId="0" borderId="296" xfId="11" applyFont="1" applyBorder="1" applyAlignment="1">
      <alignment horizontal="left" vertical="center" wrapText="1"/>
    </xf>
    <xf numFmtId="0" fontId="41" fillId="0" borderId="296" xfId="12" applyNumberFormat="1" applyFont="1" applyFill="1" applyBorder="1" applyAlignment="1" applyProtection="1">
      <alignment horizontal="left" vertical="center"/>
      <protection locked="0"/>
    </xf>
    <xf numFmtId="49" fontId="43" fillId="19" borderId="302" xfId="12" applyNumberFormat="1" applyFont="1" applyFill="1" applyBorder="1" applyAlignment="1" applyProtection="1">
      <alignment horizontal="center" vertical="center" wrapText="1"/>
      <protection locked="0"/>
    </xf>
    <xf numFmtId="49" fontId="43" fillId="19" borderId="303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226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265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26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74" xfId="12" applyNumberFormat="1" applyFont="1" applyFill="1" applyBorder="1" applyAlignment="1" applyProtection="1">
      <alignment horizontal="left" vertical="center" wrapText="1"/>
      <protection locked="0"/>
    </xf>
    <xf numFmtId="49" fontId="41" fillId="0" borderId="7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81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82" xfId="12" applyNumberFormat="1" applyFont="1" applyFill="1" applyBorder="1" applyAlignment="1" applyProtection="1">
      <alignment horizontal="center" vertical="center" wrapText="1"/>
      <protection locked="0"/>
    </xf>
    <xf numFmtId="49" fontId="41" fillId="16" borderId="226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84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26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2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63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2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63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26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253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260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226" xfId="12" applyNumberFormat="1" applyFont="1" applyFill="1" applyBorder="1" applyAlignment="1" applyProtection="1">
      <alignment horizontal="left" vertical="center"/>
      <protection locked="0"/>
    </xf>
    <xf numFmtId="49" fontId="40" fillId="16" borderId="228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208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241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42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243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74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174" xfId="11" applyFont="1" applyBorder="1" applyAlignment="1">
      <alignment horizontal="left" vertical="center" wrapText="1"/>
    </xf>
    <xf numFmtId="49" fontId="43" fillId="0" borderId="174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216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49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149" xfId="11" applyFont="1" applyBorder="1" applyAlignment="1">
      <alignment horizontal="left" vertical="center" wrapText="1"/>
    </xf>
    <xf numFmtId="49" fontId="41" fillId="16" borderId="206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74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74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74" xfId="12" applyNumberFormat="1" applyFont="1" applyFill="1" applyBorder="1" applyAlignment="1" applyProtection="1">
      <alignment vertical="center" wrapText="1"/>
      <protection locked="0"/>
    </xf>
    <xf numFmtId="0" fontId="89" fillId="0" borderId="174" xfId="11" applyFont="1" applyBorder="1" applyAlignment="1">
      <alignment vertical="center" wrapText="1"/>
    </xf>
    <xf numFmtId="49" fontId="41" fillId="0" borderId="174" xfId="12" applyNumberFormat="1" applyFont="1" applyFill="1" applyBorder="1" applyAlignment="1" applyProtection="1">
      <alignment vertical="center" wrapText="1"/>
      <protection locked="0"/>
    </xf>
    <xf numFmtId="0" fontId="90" fillId="0" borderId="174" xfId="11" applyFont="1" applyBorder="1" applyAlignment="1">
      <alignment vertical="center" wrapText="1"/>
    </xf>
    <xf numFmtId="49" fontId="43" fillId="16" borderId="7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206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205" xfId="12" applyNumberFormat="1" applyFont="1" applyFill="1" applyBorder="1" applyAlignment="1" applyProtection="1">
      <alignment horizontal="center" vertical="center" wrapText="1"/>
      <protection locked="0"/>
    </xf>
    <xf numFmtId="49" fontId="40" fillId="0" borderId="174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78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180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180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80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88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52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49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50" xfId="12" applyNumberFormat="1" applyFont="1" applyFill="1" applyBorder="1" applyAlignment="1" applyProtection="1">
      <alignment horizontal="left" vertical="center" wrapText="1"/>
      <protection locked="0"/>
    </xf>
    <xf numFmtId="49" fontId="40" fillId="0" borderId="115" xfId="12" applyNumberFormat="1" applyFont="1" applyFill="1" applyBorder="1" applyAlignment="1" applyProtection="1">
      <alignment horizontal="left" vertical="center" wrapText="1"/>
      <protection locked="0"/>
    </xf>
    <xf numFmtId="49" fontId="43" fillId="0" borderId="107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107" xfId="12" applyNumberFormat="1" applyFont="1" applyFill="1" applyBorder="1" applyAlignment="1" applyProtection="1">
      <alignment horizontal="left" vertical="center"/>
      <protection locked="0"/>
    </xf>
    <xf numFmtId="49" fontId="41" fillId="16" borderId="10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25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7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88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80" xfId="1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43" fillId="0" borderId="79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79" xfId="12" applyNumberFormat="1" applyFont="1" applyFill="1" applyBorder="1" applyAlignment="1" applyProtection="1">
      <alignment horizontal="left" vertical="center"/>
      <protection locked="0"/>
    </xf>
    <xf numFmtId="49" fontId="43" fillId="0" borderId="125" xfId="12" applyNumberFormat="1" applyFont="1" applyFill="1" applyBorder="1" applyAlignment="1" applyProtection="1">
      <alignment horizontal="left" vertical="center" wrapText="1"/>
      <protection locked="0"/>
    </xf>
    <xf numFmtId="0" fontId="41" fillId="0" borderId="125" xfId="12" applyNumberFormat="1" applyFont="1" applyFill="1" applyBorder="1" applyAlignment="1" applyProtection="1">
      <alignment horizontal="left" vertical="center"/>
      <protection locked="0"/>
    </xf>
    <xf numFmtId="49" fontId="41" fillId="16" borderId="131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125" xfId="12" applyNumberFormat="1" applyFont="1" applyFill="1" applyBorder="1" applyAlignment="1" applyProtection="1">
      <alignment horizontal="left" vertical="center" wrapText="1"/>
      <protection locked="0"/>
    </xf>
    <xf numFmtId="49" fontId="41" fillId="16" borderId="8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8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89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02" xfId="12" applyNumberFormat="1" applyFont="1" applyFill="1" applyBorder="1" applyAlignment="1" applyProtection="1">
      <alignment horizontal="center" vertical="center" wrapText="1"/>
      <protection locked="0"/>
    </xf>
    <xf numFmtId="49" fontId="40" fillId="16" borderId="103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04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07" xfId="12" applyNumberFormat="1" applyFont="1" applyFill="1" applyBorder="1" applyAlignment="1" applyProtection="1">
      <alignment horizontal="left" vertical="center" wrapText="1"/>
      <protection locked="0"/>
    </xf>
    <xf numFmtId="49" fontId="43" fillId="16" borderId="135" xfId="12" applyNumberFormat="1" applyFont="1" applyFill="1" applyBorder="1" applyAlignment="1" applyProtection="1">
      <alignment horizontal="center" vertical="center" wrapText="1"/>
      <protection locked="0"/>
    </xf>
    <xf numFmtId="49" fontId="43" fillId="16" borderId="115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36" xfId="12" applyNumberFormat="1" applyFont="1" applyFill="1" applyBorder="1" applyAlignment="1" applyProtection="1">
      <alignment horizontal="left" vertical="center" wrapText="1"/>
      <protection locked="0"/>
    </xf>
    <xf numFmtId="49" fontId="40" fillId="16" borderId="137" xfId="12" applyNumberFormat="1" applyFont="1" applyFill="1" applyBorder="1" applyAlignment="1" applyProtection="1">
      <alignment horizontal="left" vertical="center" wrapText="1"/>
      <protection locked="0"/>
    </xf>
    <xf numFmtId="0" fontId="90" fillId="0" borderId="88" xfId="11" applyFont="1" applyBorder="1" applyAlignment="1">
      <alignment horizontal="left" vertical="center" wrapText="1"/>
    </xf>
    <xf numFmtId="0" fontId="38" fillId="0" borderId="0" xfId="1" applyFont="1" applyAlignment="1">
      <alignment horizontal="center" vertical="center" wrapText="1"/>
    </xf>
    <xf numFmtId="0" fontId="40" fillId="0" borderId="0" xfId="1" applyFont="1" applyAlignment="1">
      <alignment horizontal="left" vertical="center" wrapText="1"/>
    </xf>
    <xf numFmtId="49" fontId="40" fillId="0" borderId="36" xfId="1" applyNumberFormat="1" applyFont="1" applyBorder="1" applyAlignment="1">
      <alignment horizontal="center" vertical="top"/>
    </xf>
    <xf numFmtId="49" fontId="40" fillId="0" borderId="39" xfId="1" applyNumberFormat="1" applyFont="1" applyBorder="1" applyAlignment="1">
      <alignment horizontal="center" vertical="top"/>
    </xf>
    <xf numFmtId="0" fontId="40" fillId="9" borderId="37" xfId="1" applyFont="1" applyFill="1" applyBorder="1" applyAlignment="1">
      <alignment horizontal="center" vertical="center"/>
    </xf>
    <xf numFmtId="49" fontId="40" fillId="0" borderId="40" xfId="1" applyNumberFormat="1" applyFont="1" applyBorder="1" applyAlignment="1">
      <alignment horizontal="center" vertical="top"/>
    </xf>
    <xf numFmtId="49" fontId="40" fillId="0" borderId="43" xfId="1" applyNumberFormat="1" applyFont="1" applyBorder="1" applyAlignment="1">
      <alignment horizontal="center" vertical="top"/>
    </xf>
    <xf numFmtId="49" fontId="40" fillId="0" borderId="37" xfId="1" applyNumberFormat="1" applyFont="1" applyBorder="1" applyAlignment="1">
      <alignment horizontal="center" vertical="top"/>
    </xf>
    <xf numFmtId="49" fontId="40" fillId="10" borderId="41" xfId="1" applyNumberFormat="1" applyFont="1" applyFill="1" applyBorder="1" applyAlignment="1">
      <alignment horizontal="left" vertical="center"/>
    </xf>
    <xf numFmtId="49" fontId="40" fillId="0" borderId="41" xfId="1" applyNumberFormat="1" applyFont="1" applyBorder="1" applyAlignment="1">
      <alignment horizontal="center" vertical="top"/>
    </xf>
    <xf numFmtId="49" fontId="40" fillId="0" borderId="44" xfId="1" applyNumberFormat="1" applyFont="1" applyBorder="1" applyAlignment="1">
      <alignment horizontal="center" vertical="top"/>
    </xf>
    <xf numFmtId="49" fontId="40" fillId="0" borderId="45" xfId="1" applyNumberFormat="1" applyFont="1" applyBorder="1" applyAlignment="1">
      <alignment horizontal="center" vertical="top"/>
    </xf>
    <xf numFmtId="0" fontId="40" fillId="9" borderId="41" xfId="1" applyFont="1" applyFill="1" applyBorder="1" applyAlignment="1">
      <alignment horizontal="center" vertical="center"/>
    </xf>
    <xf numFmtId="49" fontId="40" fillId="10" borderId="41" xfId="1" applyNumberFormat="1" applyFont="1" applyFill="1" applyBorder="1" applyAlignment="1">
      <alignment horizontal="left" vertical="center" wrapText="1"/>
    </xf>
    <xf numFmtId="0" fontId="40" fillId="9" borderId="41" xfId="1" applyFont="1" applyFill="1" applyBorder="1" applyAlignment="1">
      <alignment horizontal="center" vertical="center" wrapText="1"/>
    </xf>
    <xf numFmtId="49" fontId="40" fillId="10" borderId="47" xfId="1" applyNumberFormat="1" applyFont="1" applyFill="1" applyBorder="1" applyAlignment="1">
      <alignment horizontal="left" vertical="center" wrapText="1"/>
    </xf>
    <xf numFmtId="49" fontId="40" fillId="10" borderId="48" xfId="1" applyNumberFormat="1" applyFont="1" applyFill="1" applyBorder="1" applyAlignment="1">
      <alignment horizontal="left" vertical="center" wrapText="1"/>
    </xf>
    <xf numFmtId="49" fontId="40" fillId="5" borderId="8" xfId="1" applyNumberFormat="1" applyFont="1" applyFill="1" applyBorder="1" applyAlignment="1">
      <alignment horizontal="center" vertical="center"/>
    </xf>
    <xf numFmtId="0" fontId="41" fillId="0" borderId="0" xfId="1" applyFont="1" applyAlignment="1">
      <alignment horizontal="left" vertical="center" wrapText="1"/>
    </xf>
    <xf numFmtId="0" fontId="41" fillId="0" borderId="1" xfId="1" applyFont="1" applyBorder="1" applyAlignment="1">
      <alignment horizontal="right" vertical="center" wrapText="1"/>
    </xf>
    <xf numFmtId="0" fontId="40" fillId="5" borderId="49" xfId="1" applyFont="1" applyFill="1" applyBorder="1" applyAlignment="1">
      <alignment horizontal="center" vertical="center"/>
    </xf>
    <xf numFmtId="0" fontId="40" fillId="5" borderId="39" xfId="1" applyFont="1" applyFill="1" applyBorder="1" applyAlignment="1">
      <alignment horizontal="center" vertical="center"/>
    </xf>
    <xf numFmtId="0" fontId="40" fillId="5" borderId="55" xfId="1" applyFont="1" applyFill="1" applyBorder="1" applyAlignment="1">
      <alignment horizontal="center" vertical="center"/>
    </xf>
    <xf numFmtId="0" fontId="40" fillId="5" borderId="50" xfId="1" applyFont="1" applyFill="1" applyBorder="1" applyAlignment="1">
      <alignment horizontal="center" vertical="center"/>
    </xf>
    <xf numFmtId="0" fontId="40" fillId="5" borderId="41" xfId="1" applyFont="1" applyFill="1" applyBorder="1" applyAlignment="1">
      <alignment horizontal="center" vertical="center"/>
    </xf>
    <xf numFmtId="0" fontId="40" fillId="5" borderId="56" xfId="1" applyFont="1" applyFill="1" applyBorder="1" applyAlignment="1">
      <alignment horizontal="center" vertical="center"/>
    </xf>
    <xf numFmtId="0" fontId="40" fillId="5" borderId="51" xfId="1" applyFont="1" applyFill="1" applyBorder="1" applyAlignment="1">
      <alignment horizontal="center" vertical="center"/>
    </xf>
    <xf numFmtId="0" fontId="40" fillId="5" borderId="43" xfId="1" applyFont="1" applyFill="1" applyBorder="1" applyAlignment="1">
      <alignment horizontal="center" vertical="center"/>
    </xf>
    <xf numFmtId="0" fontId="40" fillId="5" borderId="57" xfId="1" applyFont="1" applyFill="1" applyBorder="1" applyAlignment="1">
      <alignment horizontal="center" vertical="center"/>
    </xf>
    <xf numFmtId="0" fontId="40" fillId="5" borderId="51" xfId="1" applyFont="1" applyFill="1" applyBorder="1" applyAlignment="1">
      <alignment horizontal="center" vertical="center" wrapText="1"/>
    </xf>
    <xf numFmtId="0" fontId="40" fillId="5" borderId="43" xfId="1" applyFont="1" applyFill="1" applyBorder="1" applyAlignment="1">
      <alignment horizontal="center" vertical="center" wrapText="1"/>
    </xf>
    <xf numFmtId="0" fontId="40" fillId="5" borderId="57" xfId="1" applyFont="1" applyFill="1" applyBorder="1" applyAlignment="1">
      <alignment horizontal="center" vertical="center" wrapText="1"/>
    </xf>
    <xf numFmtId="0" fontId="40" fillId="5" borderId="50" xfId="1" applyFont="1" applyFill="1" applyBorder="1" applyAlignment="1">
      <alignment horizontal="center" vertical="center" wrapText="1"/>
    </xf>
    <xf numFmtId="0" fontId="40" fillId="5" borderId="41" xfId="1" applyFont="1" applyFill="1" applyBorder="1" applyAlignment="1">
      <alignment horizontal="center" vertical="center" wrapText="1"/>
    </xf>
    <xf numFmtId="0" fontId="40" fillId="5" borderId="56" xfId="1" applyFont="1" applyFill="1" applyBorder="1" applyAlignment="1">
      <alignment horizontal="center" vertical="center" wrapText="1"/>
    </xf>
    <xf numFmtId="0" fontId="40" fillId="5" borderId="52" xfId="1" applyFont="1" applyFill="1" applyBorder="1" applyAlignment="1">
      <alignment horizontal="center" vertical="center" wrapText="1"/>
    </xf>
    <xf numFmtId="0" fontId="40" fillId="5" borderId="34" xfId="1" applyFont="1" applyFill="1" applyBorder="1" applyAlignment="1">
      <alignment horizontal="center" vertical="center" wrapText="1"/>
    </xf>
    <xf numFmtId="0" fontId="40" fillId="5" borderId="53" xfId="1" applyFont="1" applyFill="1" applyBorder="1" applyAlignment="1">
      <alignment horizontal="center" vertical="center" wrapText="1"/>
    </xf>
    <xf numFmtId="0" fontId="40" fillId="5" borderId="47" xfId="1" applyFont="1" applyFill="1" applyBorder="1" applyAlignment="1">
      <alignment horizontal="center" vertical="center" wrapText="1"/>
    </xf>
    <xf numFmtId="0" fontId="40" fillId="5" borderId="58" xfId="1" applyFont="1" applyFill="1" applyBorder="1" applyAlignment="1">
      <alignment horizontal="center" vertical="center" wrapText="1"/>
    </xf>
    <xf numFmtId="0" fontId="40" fillId="5" borderId="54" xfId="1" applyFont="1" applyFill="1" applyBorder="1" applyAlignment="1">
      <alignment horizontal="center" vertical="center" wrapText="1"/>
    </xf>
    <xf numFmtId="0" fontId="40" fillId="5" borderId="42" xfId="1" applyFont="1" applyFill="1" applyBorder="1" applyAlignment="1">
      <alignment horizontal="center" vertical="center" wrapText="1"/>
    </xf>
    <xf numFmtId="0" fontId="40" fillId="5" borderId="59" xfId="1" applyFont="1" applyFill="1" applyBorder="1" applyAlignment="1">
      <alignment horizontal="center" vertical="center" wrapText="1"/>
    </xf>
    <xf numFmtId="0" fontId="40" fillId="5" borderId="40" xfId="1" applyFont="1" applyFill="1" applyBorder="1" applyAlignment="1">
      <alignment horizontal="center" vertical="center" wrapText="1"/>
    </xf>
    <xf numFmtId="0" fontId="40" fillId="11" borderId="37" xfId="1" applyFont="1" applyFill="1" applyBorder="1" applyAlignment="1">
      <alignment horizontal="center" vertical="center"/>
    </xf>
    <xf numFmtId="49" fontId="40" fillId="0" borderId="40" xfId="1" applyNumberFormat="1" applyFont="1" applyBorder="1" applyAlignment="1">
      <alignment horizontal="center" vertical="center"/>
    </xf>
    <xf numFmtId="49" fontId="40" fillId="0" borderId="43" xfId="1" applyNumberFormat="1" applyFont="1" applyBorder="1" applyAlignment="1">
      <alignment horizontal="center" vertical="center"/>
    </xf>
    <xf numFmtId="49" fontId="40" fillId="0" borderId="40" xfId="1" applyNumberFormat="1" applyFont="1" applyBorder="1" applyAlignment="1">
      <alignment horizontal="center" vertical="center" wrapText="1"/>
    </xf>
    <xf numFmtId="49" fontId="40" fillId="0" borderId="43" xfId="1" applyNumberFormat="1" applyFont="1" applyBorder="1" applyAlignment="1">
      <alignment horizontal="center" vertical="center" wrapText="1"/>
    </xf>
    <xf numFmtId="49" fontId="40" fillId="0" borderId="37" xfId="1" applyNumberFormat="1" applyFont="1" applyBorder="1" applyAlignment="1">
      <alignment horizontal="center" vertical="center"/>
    </xf>
    <xf numFmtId="49" fontId="40" fillId="0" borderId="37" xfId="1" applyNumberFormat="1" applyFont="1" applyBorder="1" applyAlignment="1">
      <alignment horizontal="center" vertical="center" wrapText="1"/>
    </xf>
    <xf numFmtId="0" fontId="40" fillId="11" borderId="47" xfId="1" applyFont="1" applyFill="1" applyBorder="1" applyAlignment="1">
      <alignment horizontal="center" vertical="center"/>
    </xf>
    <xf numFmtId="0" fontId="40" fillId="11" borderId="48" xfId="1" applyFont="1" applyFill="1" applyBorder="1" applyAlignment="1">
      <alignment horizontal="center" vertical="center"/>
    </xf>
    <xf numFmtId="0" fontId="40" fillId="11" borderId="41" xfId="1" applyFont="1" applyFill="1" applyBorder="1" applyAlignment="1">
      <alignment horizontal="center" vertical="center"/>
    </xf>
    <xf numFmtId="0" fontId="40" fillId="11" borderId="41" xfId="1" applyFont="1" applyFill="1" applyBorder="1" applyAlignment="1">
      <alignment horizontal="center" vertical="center" wrapText="1"/>
    </xf>
    <xf numFmtId="49" fontId="40" fillId="5" borderId="67" xfId="1" applyNumberFormat="1" applyFont="1" applyFill="1" applyBorder="1" applyAlignment="1">
      <alignment horizontal="center" vertical="center"/>
    </xf>
    <xf numFmtId="49" fontId="40" fillId="5" borderId="68" xfId="1" applyNumberFormat="1" applyFont="1" applyFill="1" applyBorder="1" applyAlignment="1">
      <alignment horizontal="center" vertical="center"/>
    </xf>
    <xf numFmtId="3" fontId="47" fillId="0" borderId="0" xfId="1" applyNumberFormat="1" applyFont="1" applyAlignment="1">
      <alignment horizontal="center" vertical="center" wrapText="1"/>
    </xf>
    <xf numFmtId="0" fontId="47" fillId="0" borderId="0" xfId="1" applyFont="1" applyAlignment="1">
      <alignment horizontal="center" vertical="center" wrapText="1"/>
    </xf>
    <xf numFmtId="0" fontId="40" fillId="11" borderId="47" xfId="1" applyFont="1" applyFill="1" applyBorder="1" applyAlignment="1">
      <alignment horizontal="center" vertical="center" wrapText="1"/>
    </xf>
    <xf numFmtId="0" fontId="40" fillId="11" borderId="48" xfId="1" applyFont="1" applyFill="1" applyBorder="1" applyAlignment="1">
      <alignment horizontal="center" vertical="center" wrapText="1"/>
    </xf>
    <xf numFmtId="49" fontId="40" fillId="0" borderId="64" xfId="1" applyNumberFormat="1" applyFont="1" applyBorder="1" applyAlignment="1">
      <alignment horizontal="center" vertical="top"/>
    </xf>
    <xf numFmtId="49" fontId="40" fillId="0" borderId="61" xfId="1" applyNumberFormat="1" applyFont="1" applyBorder="1" applyAlignment="1">
      <alignment horizontal="center" vertical="center"/>
    </xf>
    <xf numFmtId="49" fontId="40" fillId="0" borderId="63" xfId="1" applyNumberFormat="1" applyFont="1" applyBorder="1" applyAlignment="1">
      <alignment horizontal="center" vertical="center"/>
    </xf>
    <xf numFmtId="49" fontId="40" fillId="0" borderId="65" xfId="1" applyNumberFormat="1" applyFont="1" applyBorder="1" applyAlignment="1">
      <alignment horizontal="center" vertical="center"/>
    </xf>
    <xf numFmtId="49" fontId="40" fillId="0" borderId="57" xfId="1" applyNumberFormat="1" applyFont="1" applyBorder="1" applyAlignment="1">
      <alignment horizontal="center" vertical="center" wrapText="1"/>
    </xf>
    <xf numFmtId="0" fontId="12" fillId="4" borderId="1367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49" fontId="5" fillId="4" borderId="454" xfId="1" applyNumberFormat="1" applyFont="1" applyFill="1" applyBorder="1" applyAlignment="1">
      <alignment horizontal="center" vertical="center"/>
    </xf>
    <xf numFmtId="49" fontId="5" fillId="4" borderId="9" xfId="1" applyNumberFormat="1" applyFont="1" applyFill="1" applyBorder="1" applyAlignment="1">
      <alignment horizontal="center" vertical="center"/>
    </xf>
    <xf numFmtId="49" fontId="5" fillId="4" borderId="13" xfId="1" applyNumberFormat="1" applyFont="1" applyFill="1" applyBorder="1" applyAlignment="1">
      <alignment horizontal="center" vertical="center"/>
    </xf>
    <xf numFmtId="0" fontId="5" fillId="4" borderId="454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49" fontId="5" fillId="2" borderId="888" xfId="1" applyNumberFormat="1" applyFont="1" applyFill="1" applyBorder="1" applyAlignment="1">
      <alignment horizontal="center" vertical="center"/>
    </xf>
    <xf numFmtId="49" fontId="5" fillId="2" borderId="1353" xfId="1" applyNumberFormat="1" applyFont="1" applyFill="1" applyBorder="1" applyAlignment="1">
      <alignment horizontal="center" vertical="center"/>
    </xf>
    <xf numFmtId="49" fontId="12" fillId="0" borderId="454" xfId="1" applyNumberFormat="1" applyFont="1" applyFill="1" applyBorder="1" applyAlignment="1">
      <alignment horizontal="center" vertical="center" wrapText="1"/>
    </xf>
    <xf numFmtId="49" fontId="12" fillId="0" borderId="831" xfId="1" applyNumberFormat="1" applyFont="1" applyFill="1" applyBorder="1" applyAlignment="1">
      <alignment horizontal="center" vertical="center" wrapText="1"/>
    </xf>
    <xf numFmtId="49" fontId="7" fillId="0" borderId="1298" xfId="1" applyNumberFormat="1" applyFont="1" applyBorder="1" applyAlignment="1">
      <alignment horizontal="center" vertical="center"/>
    </xf>
    <xf numFmtId="49" fontId="7" fillId="0" borderId="1210" xfId="1" applyNumberFormat="1" applyFont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 wrapText="1"/>
    </xf>
    <xf numFmtId="0" fontId="12" fillId="4" borderId="831" xfId="1" applyFont="1" applyFill="1" applyBorder="1" applyAlignment="1">
      <alignment horizontal="center" vertical="center" wrapText="1"/>
    </xf>
    <xf numFmtId="49" fontId="12" fillId="4" borderId="454" xfId="1" applyNumberFormat="1" applyFont="1" applyFill="1" applyBorder="1" applyAlignment="1">
      <alignment horizontal="center" vertical="center" wrapText="1"/>
    </xf>
    <xf numFmtId="49" fontId="12" fillId="4" borderId="9" xfId="1" applyNumberFormat="1" applyFont="1" applyFill="1" applyBorder="1" applyAlignment="1">
      <alignment horizontal="center" vertical="center" wrapText="1"/>
    </xf>
    <xf numFmtId="49" fontId="10" fillId="4" borderId="454" xfId="1" applyNumberFormat="1" applyFont="1" applyFill="1" applyBorder="1" applyAlignment="1">
      <alignment horizontal="center" vertical="center"/>
    </xf>
    <xf numFmtId="49" fontId="10" fillId="4" borderId="9" xfId="1" applyNumberFormat="1" applyFont="1" applyFill="1" applyBorder="1" applyAlignment="1">
      <alignment horizontal="center" vertical="center"/>
    </xf>
    <xf numFmtId="49" fontId="10" fillId="4" borderId="454" xfId="1" applyNumberFormat="1" applyFont="1" applyFill="1" applyBorder="1" applyAlignment="1">
      <alignment horizontal="center" vertical="center" wrapText="1"/>
    </xf>
    <xf numFmtId="49" fontId="10" fillId="4" borderId="9" xfId="1" applyNumberFormat="1" applyFont="1" applyFill="1" applyBorder="1" applyAlignment="1">
      <alignment horizontal="center" vertical="center" wrapText="1"/>
    </xf>
    <xf numFmtId="0" fontId="12" fillId="4" borderId="1348" xfId="1" applyFont="1" applyFill="1" applyBorder="1" applyAlignment="1">
      <alignment horizontal="center" vertical="center" wrapText="1"/>
    </xf>
    <xf numFmtId="49" fontId="5" fillId="0" borderId="1298" xfId="1" applyNumberFormat="1" applyFont="1" applyBorder="1" applyAlignment="1">
      <alignment horizontal="center" vertical="center"/>
    </xf>
    <xf numFmtId="49" fontId="5" fillId="0" borderId="1210" xfId="1" applyNumberFormat="1" applyFont="1" applyBorder="1" applyAlignment="1">
      <alignment horizontal="center" vertical="center"/>
    </xf>
    <xf numFmtId="49" fontId="5" fillId="0" borderId="1365" xfId="1" applyNumberFormat="1" applyFont="1" applyBorder="1" applyAlignment="1">
      <alignment horizontal="center" vertical="center"/>
    </xf>
    <xf numFmtId="49" fontId="5" fillId="0" borderId="454" xfId="1" applyNumberFormat="1" applyFont="1" applyFill="1" applyBorder="1" applyAlignment="1">
      <alignment horizontal="center" vertical="center"/>
    </xf>
    <xf numFmtId="49" fontId="5" fillId="0" borderId="831" xfId="1" applyNumberFormat="1" applyFont="1" applyFill="1" applyBorder="1" applyAlignment="1">
      <alignment horizontal="center" vertical="center"/>
    </xf>
    <xf numFmtId="0" fontId="10" fillId="4" borderId="454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49" fontId="12" fillId="4" borderId="454" xfId="1" applyNumberFormat="1" applyFont="1" applyFill="1" applyBorder="1" applyAlignment="1">
      <alignment horizontal="center" vertical="center"/>
    </xf>
    <xf numFmtId="49" fontId="12" fillId="4" borderId="9" xfId="1" applyNumberFormat="1" applyFont="1" applyFill="1" applyBorder="1" applyAlignment="1">
      <alignment horizontal="center" vertical="center"/>
    </xf>
    <xf numFmtId="0" fontId="12" fillId="4" borderId="454" xfId="1" applyFont="1" applyFill="1" applyBorder="1" applyAlignment="1">
      <alignment horizontal="center" vertical="center" wrapText="1"/>
    </xf>
    <xf numFmtId="0" fontId="12" fillId="4" borderId="1196" xfId="1" applyFont="1" applyFill="1" applyBorder="1" applyAlignment="1">
      <alignment horizontal="center" vertical="center" wrapText="1"/>
    </xf>
    <xf numFmtId="0" fontId="12" fillId="4" borderId="13" xfId="1" applyFont="1" applyFill="1" applyBorder="1" applyAlignment="1">
      <alignment horizontal="center" vertical="center" wrapText="1"/>
    </xf>
    <xf numFmtId="0" fontId="12" fillId="4" borderId="1362" xfId="1" applyFont="1" applyFill="1" applyBorder="1" applyAlignment="1">
      <alignment horizontal="center" vertical="center" wrapText="1"/>
    </xf>
    <xf numFmtId="0" fontId="10" fillId="0" borderId="121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353" xfId="1" applyFont="1" applyFill="1" applyBorder="1" applyAlignment="1">
      <alignment horizontal="center" vertical="center"/>
    </xf>
    <xf numFmtId="0" fontId="5" fillId="2" borderId="119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19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30" xfId="1" applyFont="1" applyFill="1" applyBorder="1" applyAlignment="1">
      <alignment horizontal="center" vertical="center" wrapText="1"/>
    </xf>
    <xf numFmtId="0" fontId="5" fillId="2" borderId="1298" xfId="1" applyFont="1" applyFill="1" applyBorder="1" applyAlignment="1">
      <alignment horizontal="center" vertical="center" wrapText="1"/>
    </xf>
    <xf numFmtId="0" fontId="5" fillId="2" borderId="1361" xfId="1" applyFont="1" applyFill="1" applyBorder="1" applyAlignment="1">
      <alignment horizontal="center" vertical="center"/>
    </xf>
    <xf numFmtId="0" fontId="5" fillId="2" borderId="136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888" xfId="1" applyFont="1" applyFill="1" applyBorder="1" applyAlignment="1">
      <alignment horizontal="center" vertical="center" wrapText="1"/>
    </xf>
    <xf numFmtId="0" fontId="5" fillId="2" borderId="1229" xfId="1" applyFont="1" applyFill="1" applyBorder="1" applyAlignment="1">
      <alignment horizontal="center" vertical="center" wrapText="1"/>
    </xf>
    <xf numFmtId="0" fontId="5" fillId="2" borderId="888" xfId="1" applyFont="1" applyFill="1" applyBorder="1" applyAlignment="1">
      <alignment horizontal="center" vertical="center"/>
    </xf>
    <xf numFmtId="0" fontId="5" fillId="2" borderId="1229" xfId="1" applyFont="1" applyFill="1" applyBorder="1" applyAlignment="1">
      <alignment horizontal="center" vertical="center"/>
    </xf>
    <xf numFmtId="0" fontId="5" fillId="2" borderId="136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18" fillId="4" borderId="3" xfId="1" applyNumberFormat="1" applyFont="1" applyFill="1" applyBorder="1" applyAlignment="1">
      <alignment horizontal="center" vertical="center"/>
    </xf>
    <xf numFmtId="49" fontId="18" fillId="4" borderId="9" xfId="1" applyNumberFormat="1" applyFont="1" applyFill="1" applyBorder="1" applyAlignment="1">
      <alignment horizontal="center" vertical="center"/>
    </xf>
    <xf numFmtId="49" fontId="18" fillId="4" borderId="13" xfId="1" applyNumberFormat="1" applyFont="1" applyFill="1" applyBorder="1" applyAlignment="1">
      <alignment horizontal="center" vertical="center"/>
    </xf>
    <xf numFmtId="49" fontId="12" fillId="4" borderId="3" xfId="1" applyNumberFormat="1" applyFont="1" applyFill="1" applyBorder="1" applyAlignment="1">
      <alignment horizontal="center" vertical="center"/>
    </xf>
    <xf numFmtId="49" fontId="12" fillId="4" borderId="13" xfId="1" applyNumberFormat="1" applyFont="1" applyFill="1" applyBorder="1" applyAlignment="1">
      <alignment horizontal="center" vertical="center"/>
    </xf>
    <xf numFmtId="3" fontId="12" fillId="4" borderId="3" xfId="1" applyNumberFormat="1" applyFont="1" applyFill="1" applyBorder="1" applyAlignment="1">
      <alignment horizontal="right" vertical="center" wrapText="1"/>
    </xf>
    <xf numFmtId="3" fontId="12" fillId="4" borderId="9" xfId="1" applyNumberFormat="1" applyFont="1" applyFill="1" applyBorder="1" applyAlignment="1">
      <alignment horizontal="right" vertical="center" wrapText="1"/>
    </xf>
    <xf numFmtId="3" fontId="12" fillId="4" borderId="13" xfId="1" applyNumberFormat="1" applyFont="1" applyFill="1" applyBorder="1" applyAlignment="1">
      <alignment horizontal="right" vertical="center" wrapText="1"/>
    </xf>
    <xf numFmtId="49" fontId="12" fillId="4" borderId="1196" xfId="1" applyNumberFormat="1" applyFont="1" applyFill="1" applyBorder="1" applyAlignment="1">
      <alignment horizontal="center" vertical="center" wrapText="1"/>
    </xf>
    <xf numFmtId="49" fontId="12" fillId="4" borderId="13" xfId="1" applyNumberFormat="1" applyFont="1" applyFill="1" applyBorder="1" applyAlignment="1">
      <alignment horizontal="center" vertical="center" wrapText="1"/>
    </xf>
    <xf numFmtId="49" fontId="12" fillId="4" borderId="1196" xfId="1" applyNumberFormat="1" applyFont="1" applyFill="1" applyBorder="1" applyAlignment="1">
      <alignment horizontal="center" vertical="center"/>
    </xf>
    <xf numFmtId="4" fontId="10" fillId="4" borderId="6" xfId="1" applyNumberFormat="1" applyFont="1" applyFill="1" applyBorder="1" applyAlignment="1">
      <alignment horizontal="right" vertical="center"/>
    </xf>
    <xf numFmtId="4" fontId="10" fillId="4" borderId="14" xfId="1" applyNumberFormat="1" applyFont="1" applyFill="1" applyBorder="1" applyAlignment="1">
      <alignment horizontal="right" vertical="center"/>
    </xf>
    <xf numFmtId="4" fontId="10" fillId="4" borderId="11" xfId="1" applyNumberFormat="1" applyFont="1" applyFill="1" applyBorder="1" applyAlignment="1">
      <alignment horizontal="right" vertical="center"/>
    </xf>
    <xf numFmtId="4" fontId="18" fillId="4" borderId="3" xfId="1" applyNumberFormat="1" applyFont="1" applyFill="1" applyBorder="1" applyAlignment="1">
      <alignment horizontal="right" vertical="center"/>
    </xf>
    <xf numFmtId="4" fontId="18" fillId="4" borderId="9" xfId="1" applyNumberFormat="1" applyFont="1" applyFill="1" applyBorder="1" applyAlignment="1">
      <alignment horizontal="right" vertical="center"/>
    </xf>
    <xf numFmtId="4" fontId="18" fillId="4" borderId="13" xfId="1" applyNumberFormat="1" applyFont="1" applyFill="1" applyBorder="1" applyAlignment="1">
      <alignment horizontal="right" vertical="center"/>
    </xf>
    <xf numFmtId="0" fontId="10" fillId="0" borderId="3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10" fillId="0" borderId="13" xfId="2" applyFont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3" fontId="12" fillId="4" borderId="1196" xfId="1" applyNumberFormat="1" applyFont="1" applyFill="1" applyBorder="1" applyAlignment="1">
      <alignment horizontal="center" vertical="center" wrapText="1"/>
    </xf>
    <xf numFmtId="3" fontId="12" fillId="4" borderId="13" xfId="1" applyNumberFormat="1" applyFont="1" applyFill="1" applyBorder="1" applyAlignment="1">
      <alignment horizontal="center" vertical="center" wrapText="1"/>
    </xf>
    <xf numFmtId="4" fontId="12" fillId="4" borderId="1196" xfId="1" applyNumberFormat="1" applyFont="1" applyFill="1" applyBorder="1" applyAlignment="1">
      <alignment horizontal="right" vertical="center" wrapText="1"/>
    </xf>
    <xf numFmtId="4" fontId="12" fillId="4" borderId="13" xfId="1" applyNumberFormat="1" applyFont="1" applyFill="1" applyBorder="1" applyAlignment="1">
      <alignment horizontal="right" vertical="center" wrapText="1"/>
    </xf>
    <xf numFmtId="49" fontId="10" fillId="4" borderId="13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5" fillId="0" borderId="1196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14" fillId="4" borderId="1196" xfId="1" applyNumberFormat="1" applyFont="1" applyFill="1" applyBorder="1" applyAlignment="1">
      <alignment horizontal="center" vertical="center"/>
    </xf>
    <xf numFmtId="49" fontId="14" fillId="4" borderId="13" xfId="1" applyNumberFormat="1" applyFont="1" applyFill="1" applyBorder="1" applyAlignment="1">
      <alignment horizontal="center" vertical="center"/>
    </xf>
    <xf numFmtId="0" fontId="14" fillId="4" borderId="1196" xfId="1" applyFont="1" applyFill="1" applyBorder="1" applyAlignment="1">
      <alignment horizontal="center" vertical="center" wrapText="1"/>
    </xf>
    <xf numFmtId="0" fontId="14" fillId="4" borderId="13" xfId="1" applyFont="1" applyFill="1" applyBorder="1" applyAlignment="1">
      <alignment horizontal="center" vertical="center" wrapText="1"/>
    </xf>
    <xf numFmtId="3" fontId="35" fillId="4" borderId="3" xfId="1" applyNumberFormat="1" applyFont="1" applyFill="1" applyBorder="1" applyAlignment="1">
      <alignment horizontal="right" vertical="center"/>
    </xf>
    <xf numFmtId="3" fontId="35" fillId="4" borderId="9" xfId="1" applyNumberFormat="1" applyFont="1" applyFill="1" applyBorder="1" applyAlignment="1">
      <alignment horizontal="right" vertical="center"/>
    </xf>
    <xf numFmtId="3" fontId="35" fillId="4" borderId="13" xfId="1" applyNumberFormat="1" applyFont="1" applyFill="1" applyBorder="1" applyAlignment="1">
      <alignment horizontal="right" vertical="center"/>
    </xf>
    <xf numFmtId="4" fontId="18" fillId="4" borderId="3" xfId="1" applyNumberFormat="1" applyFont="1" applyFill="1" applyBorder="1" applyAlignment="1">
      <alignment horizontal="right" vertical="center" wrapText="1"/>
    </xf>
    <xf numFmtId="4" fontId="18" fillId="4" borderId="9" xfId="1" applyNumberFormat="1" applyFont="1" applyFill="1" applyBorder="1" applyAlignment="1">
      <alignment horizontal="right" vertical="center" wrapText="1"/>
    </xf>
    <xf numFmtId="4" fontId="18" fillId="4" borderId="13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32" fillId="0" borderId="3" xfId="1" applyNumberFormat="1" applyFont="1" applyBorder="1" applyAlignment="1">
      <alignment horizontal="center" vertical="center"/>
    </xf>
    <xf numFmtId="49" fontId="32" fillId="0" borderId="9" xfId="1" applyNumberFormat="1" applyFont="1" applyBorder="1" applyAlignment="1">
      <alignment horizontal="center" vertical="center"/>
    </xf>
    <xf numFmtId="49" fontId="32" fillId="0" borderId="13" xfId="1" applyNumberFormat="1" applyFont="1" applyBorder="1" applyAlignment="1">
      <alignment horizontal="center" vertical="center"/>
    </xf>
    <xf numFmtId="49" fontId="31" fillId="4" borderId="3" xfId="1" applyNumberFormat="1" applyFont="1" applyFill="1" applyBorder="1" applyAlignment="1">
      <alignment horizontal="center" vertical="center"/>
    </xf>
    <xf numFmtId="49" fontId="31" fillId="4" borderId="13" xfId="1" applyNumberFormat="1" applyFont="1" applyFill="1" applyBorder="1" applyAlignment="1">
      <alignment horizontal="center" vertical="center"/>
    </xf>
    <xf numFmtId="0" fontId="31" fillId="4" borderId="3" xfId="1" applyFont="1" applyFill="1" applyBorder="1" applyAlignment="1">
      <alignment horizontal="center" vertical="center" wrapText="1"/>
    </xf>
    <xf numFmtId="0" fontId="31" fillId="4" borderId="13" xfId="1" applyFont="1" applyFill="1" applyBorder="1" applyAlignment="1">
      <alignment horizontal="center" vertical="center" wrapText="1"/>
    </xf>
    <xf numFmtId="49" fontId="7" fillId="0" borderId="1196" xfId="1" applyNumberFormat="1" applyFont="1" applyBorder="1" applyAlignment="1">
      <alignment horizontal="center" vertical="center"/>
    </xf>
    <xf numFmtId="49" fontId="18" fillId="4" borderId="4" xfId="1" applyNumberFormat="1" applyFont="1" applyFill="1" applyBorder="1" applyAlignment="1">
      <alignment horizontal="center" vertical="center"/>
    </xf>
    <xf numFmtId="49" fontId="18" fillId="4" borderId="12" xfId="1" applyNumberFormat="1" applyFont="1" applyFill="1" applyBorder="1" applyAlignment="1">
      <alignment horizontal="center" vertical="center"/>
    </xf>
    <xf numFmtId="0" fontId="18" fillId="4" borderId="3" xfId="1" applyFont="1" applyFill="1" applyBorder="1" applyAlignment="1">
      <alignment horizontal="left" vertical="center" wrapText="1"/>
    </xf>
    <xf numFmtId="0" fontId="18" fillId="4" borderId="13" xfId="1" applyFont="1" applyFill="1" applyBorder="1" applyAlignment="1">
      <alignment horizontal="left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49" fontId="10" fillId="4" borderId="3" xfId="1" applyNumberFormat="1" applyFont="1" applyFill="1" applyBorder="1" applyAlignment="1">
      <alignment horizontal="center" vertical="center"/>
    </xf>
    <xf numFmtId="49" fontId="10" fillId="4" borderId="13" xfId="1" applyNumberFormat="1" applyFont="1" applyFill="1" applyBorder="1" applyAlignment="1">
      <alignment horizontal="center" vertical="center"/>
    </xf>
    <xf numFmtId="3" fontId="18" fillId="4" borderId="3" xfId="1" applyNumberFormat="1" applyFont="1" applyFill="1" applyBorder="1" applyAlignment="1">
      <alignment horizontal="center" vertical="center" wrapText="1"/>
    </xf>
    <xf numFmtId="3" fontId="18" fillId="4" borderId="13" xfId="1" applyNumberFormat="1" applyFont="1" applyFill="1" applyBorder="1" applyAlignment="1">
      <alignment horizontal="center" vertical="center" wrapText="1"/>
    </xf>
    <xf numFmtId="0" fontId="12" fillId="4" borderId="1196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4" fontId="18" fillId="4" borderId="1196" xfId="1" applyNumberFormat="1" applyFont="1" applyFill="1" applyBorder="1" applyAlignment="1">
      <alignment horizontal="left" vertical="center" wrapText="1"/>
    </xf>
    <xf numFmtId="4" fontId="18" fillId="4" borderId="13" xfId="1" applyNumberFormat="1" applyFont="1" applyFill="1" applyBorder="1" applyAlignment="1">
      <alignment horizontal="left" vertical="center" wrapText="1"/>
    </xf>
    <xf numFmtId="49" fontId="18" fillId="4" borderId="1196" xfId="1" applyNumberFormat="1" applyFont="1" applyFill="1" applyBorder="1" applyAlignment="1">
      <alignment horizontal="center" vertical="center"/>
    </xf>
    <xf numFmtId="3" fontId="18" fillId="4" borderId="1196" xfId="1" applyNumberFormat="1" applyFont="1" applyFill="1" applyBorder="1" applyAlignment="1">
      <alignment horizontal="right" vertical="center" wrapText="1"/>
    </xf>
    <xf numFmtId="3" fontId="18" fillId="4" borderId="13" xfId="1" applyNumberFormat="1" applyFont="1" applyFill="1" applyBorder="1" applyAlignment="1">
      <alignment horizontal="right" vertical="center" wrapText="1"/>
    </xf>
    <xf numFmtId="4" fontId="18" fillId="4" borderId="1196" xfId="1" applyNumberFormat="1" applyFont="1" applyFill="1" applyBorder="1" applyAlignment="1">
      <alignment horizontal="right" vertical="center" wrapText="1"/>
    </xf>
    <xf numFmtId="4" fontId="18" fillId="4" borderId="1196" xfId="1" applyNumberFormat="1" applyFont="1" applyFill="1" applyBorder="1" applyAlignment="1">
      <alignment horizontal="right" vertical="center"/>
    </xf>
    <xf numFmtId="0" fontId="12" fillId="0" borderId="1196" xfId="3" applyFont="1" applyBorder="1" applyAlignment="1">
      <alignment horizontal="left" vertical="center" wrapText="1"/>
    </xf>
    <xf numFmtId="0" fontId="12" fillId="0" borderId="9" xfId="3" applyFont="1" applyBorder="1" applyAlignment="1">
      <alignment horizontal="left" vertical="center" wrapText="1"/>
    </xf>
    <xf numFmtId="0" fontId="12" fillId="0" borderId="13" xfId="3" applyFont="1" applyBorder="1" applyAlignment="1">
      <alignment horizontal="left" vertical="center" wrapText="1"/>
    </xf>
    <xf numFmtId="49" fontId="10" fillId="4" borderId="1196" xfId="1" applyNumberFormat="1" applyFont="1" applyFill="1" applyBorder="1" applyAlignment="1">
      <alignment horizontal="center" vertical="center"/>
    </xf>
    <xf numFmtId="3" fontId="11" fillId="4" borderId="1298" xfId="1" applyNumberFormat="1" applyFont="1" applyFill="1" applyBorder="1" applyAlignment="1">
      <alignment horizontal="center" vertical="center"/>
    </xf>
    <xf numFmtId="3" fontId="11" fillId="4" borderId="1365" xfId="1" applyNumberFormat="1" applyFont="1" applyFill="1" applyBorder="1" applyAlignment="1">
      <alignment horizontal="center" vertical="center"/>
    </xf>
    <xf numFmtId="0" fontId="12" fillId="4" borderId="1362" xfId="1" applyFont="1" applyFill="1" applyBorder="1" applyAlignment="1">
      <alignment horizontal="left" vertical="top" wrapText="1"/>
    </xf>
    <xf numFmtId="0" fontId="12" fillId="4" borderId="12" xfId="1" applyFont="1" applyFill="1" applyBorder="1" applyAlignment="1">
      <alignment horizontal="left" vertical="top" wrapText="1"/>
    </xf>
    <xf numFmtId="4" fontId="10" fillId="4" borderId="1196" xfId="1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center" vertical="center"/>
    </xf>
    <xf numFmtId="4" fontId="10" fillId="4" borderId="1361" xfId="1" applyNumberFormat="1" applyFont="1" applyFill="1" applyBorder="1" applyAlignment="1">
      <alignment horizontal="center" vertical="center"/>
    </xf>
    <xf numFmtId="4" fontId="10" fillId="4" borderId="1" xfId="1" applyNumberFormat="1" applyFont="1" applyFill="1" applyBorder="1" applyAlignment="1">
      <alignment horizontal="center" vertical="center"/>
    </xf>
    <xf numFmtId="4" fontId="10" fillId="4" borderId="1196" xfId="1" applyNumberFormat="1" applyFont="1" applyFill="1" applyBorder="1" applyAlignment="1">
      <alignment horizontal="right" vertical="center"/>
    </xf>
    <xf numFmtId="4" fontId="10" fillId="4" borderId="13" xfId="1" applyNumberFormat="1" applyFont="1" applyFill="1" applyBorder="1" applyAlignment="1">
      <alignment horizontal="right" vertical="center"/>
    </xf>
    <xf numFmtId="0" fontId="10" fillId="0" borderId="1362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3" fontId="3" fillId="4" borderId="1298" xfId="1" applyNumberFormat="1" applyFont="1" applyFill="1" applyBorder="1" applyAlignment="1">
      <alignment horizontal="center" vertical="center"/>
    </xf>
    <xf numFmtId="3" fontId="3" fillId="4" borderId="1365" xfId="1" applyNumberFormat="1" applyFont="1" applyFill="1" applyBorder="1" applyAlignment="1">
      <alignment horizontal="center" vertical="center"/>
    </xf>
    <xf numFmtId="4" fontId="12" fillId="4" borderId="1196" xfId="1" applyNumberFormat="1" applyFont="1" applyFill="1" applyBorder="1" applyAlignment="1">
      <alignment horizontal="center" vertical="center"/>
    </xf>
    <xf numFmtId="4" fontId="12" fillId="4" borderId="13" xfId="1" applyNumberFormat="1" applyFont="1" applyFill="1" applyBorder="1" applyAlignment="1">
      <alignment horizontal="center" vertical="center"/>
    </xf>
    <xf numFmtId="4" fontId="12" fillId="4" borderId="1361" xfId="1" applyNumberFormat="1" applyFont="1" applyFill="1" applyBorder="1" applyAlignment="1">
      <alignment horizontal="right" vertical="center"/>
    </xf>
    <xf numFmtId="4" fontId="12" fillId="4" borderId="1" xfId="1" applyNumberFormat="1" applyFont="1" applyFill="1" applyBorder="1" applyAlignment="1">
      <alignment horizontal="right" vertical="center"/>
    </xf>
    <xf numFmtId="4" fontId="12" fillId="4" borderId="1196" xfId="1" applyNumberFormat="1" applyFont="1" applyFill="1" applyBorder="1" applyAlignment="1">
      <alignment horizontal="right" vertical="center"/>
    </xf>
    <xf numFmtId="4" fontId="12" fillId="4" borderId="13" xfId="1" applyNumberFormat="1" applyFont="1" applyFill="1" applyBorder="1" applyAlignment="1">
      <alignment horizontal="right" vertical="center"/>
    </xf>
    <xf numFmtId="0" fontId="22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5" fillId="2" borderId="1353" xfId="1" applyFont="1" applyFill="1" applyBorder="1" applyAlignment="1">
      <alignment horizontal="center" vertical="center" wrapText="1"/>
    </xf>
    <xf numFmtId="0" fontId="5" fillId="2" borderId="1362" xfId="1" applyFont="1" applyFill="1" applyBorder="1" applyAlignment="1">
      <alignment horizontal="center" vertical="center"/>
    </xf>
    <xf numFmtId="0" fontId="14" fillId="2" borderId="888" xfId="1" applyFont="1" applyFill="1" applyBorder="1" applyAlignment="1">
      <alignment horizontal="center" vertical="center" wrapText="1"/>
    </xf>
    <xf numFmtId="0" fontId="14" fillId="2" borderId="1353" xfId="1" applyFont="1" applyFill="1" applyBorder="1" applyAlignment="1">
      <alignment horizontal="center" vertical="center" wrapText="1"/>
    </xf>
    <xf numFmtId="49" fontId="17" fillId="4" borderId="1196" xfId="1" applyNumberFormat="1" applyFont="1" applyFill="1" applyBorder="1" applyAlignment="1">
      <alignment horizontal="center" vertical="center"/>
    </xf>
    <xf numFmtId="49" fontId="17" fillId="4" borderId="13" xfId="1" applyNumberFormat="1" applyFont="1" applyFill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13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49" fontId="12" fillId="4" borderId="166" xfId="1" applyNumberFormat="1" applyFont="1" applyFill="1" applyBorder="1" applyAlignment="1">
      <alignment horizontal="center" vertical="center" wrapText="1"/>
    </xf>
    <xf numFmtId="49" fontId="12" fillId="4" borderId="1363" xfId="1" applyNumberFormat="1" applyFont="1" applyFill="1" applyBorder="1" applyAlignment="1">
      <alignment horizontal="center" vertical="center" wrapText="1"/>
    </xf>
    <xf numFmtId="49" fontId="14" fillId="0" borderId="1196" xfId="1" applyNumberFormat="1" applyFont="1" applyBorder="1" applyAlignment="1">
      <alignment horizontal="center" vertical="center"/>
    </xf>
    <xf numFmtId="49" fontId="14" fillId="0" borderId="13" xfId="1" applyNumberFormat="1" applyFont="1" applyBorder="1" applyAlignment="1">
      <alignment horizontal="center" vertical="center"/>
    </xf>
    <xf numFmtId="49" fontId="14" fillId="0" borderId="1196" xfId="1" applyNumberFormat="1" applyFont="1" applyBorder="1" applyAlignment="1">
      <alignment horizontal="center" vertical="center" wrapText="1"/>
    </xf>
    <xf numFmtId="49" fontId="14" fillId="0" borderId="13" xfId="1" applyNumberFormat="1" applyFont="1" applyBorder="1" applyAlignment="1">
      <alignment horizontal="center" vertical="center" wrapText="1"/>
    </xf>
    <xf numFmtId="49" fontId="28" fillId="4" borderId="1196" xfId="1" applyNumberFormat="1" applyFont="1" applyFill="1" applyBorder="1" applyAlignment="1">
      <alignment horizontal="center" vertical="center"/>
    </xf>
    <xf numFmtId="49" fontId="28" fillId="4" borderId="13" xfId="1" applyNumberFormat="1" applyFont="1" applyFill="1" applyBorder="1" applyAlignment="1">
      <alignment horizontal="center" vertical="center"/>
    </xf>
    <xf numFmtId="49" fontId="10" fillId="4" borderId="1196" xfId="1" applyNumberFormat="1" applyFont="1" applyFill="1" applyBorder="1" applyAlignment="1">
      <alignment horizontal="center" vertical="center" wrapText="1"/>
    </xf>
    <xf numFmtId="49" fontId="12" fillId="4" borderId="831" xfId="1" applyNumberFormat="1" applyFont="1" applyFill="1" applyBorder="1" applyAlignment="1">
      <alignment horizontal="center" vertical="center"/>
    </xf>
    <xf numFmtId="49" fontId="12" fillId="4" borderId="1311" xfId="1" applyNumberFormat="1" applyFont="1" applyFill="1" applyBorder="1" applyAlignment="1">
      <alignment horizontal="center" vertical="center"/>
    </xf>
    <xf numFmtId="4" fontId="18" fillId="0" borderId="1196" xfId="1" applyNumberFormat="1" applyFont="1" applyBorder="1" applyAlignment="1">
      <alignment horizontal="right" vertical="center" wrapText="1"/>
    </xf>
    <xf numFmtId="4" fontId="18" fillId="0" borderId="13" xfId="1" applyNumberFormat="1" applyFont="1" applyBorder="1" applyAlignment="1">
      <alignment horizontal="right" vertical="center" wrapText="1"/>
    </xf>
    <xf numFmtId="4" fontId="18" fillId="0" borderId="1298" xfId="1" applyNumberFormat="1" applyFont="1" applyBorder="1" applyAlignment="1">
      <alignment horizontal="right" vertical="center" wrapText="1"/>
    </xf>
    <xf numFmtId="4" fontId="18" fillId="0" borderId="1365" xfId="1" applyNumberFormat="1" applyFont="1" applyBorder="1" applyAlignment="1">
      <alignment horizontal="right" vertical="center" wrapText="1"/>
    </xf>
    <xf numFmtId="0" fontId="18" fillId="0" borderId="1362" xfId="1" applyFont="1" applyBorder="1" applyAlignment="1">
      <alignment horizontal="left" vertical="top" wrapText="1"/>
    </xf>
    <xf numFmtId="0" fontId="18" fillId="0" borderId="12" xfId="1" applyFont="1" applyBorder="1" applyAlignment="1">
      <alignment horizontal="left" vertical="top" wrapText="1"/>
    </xf>
    <xf numFmtId="0" fontId="18" fillId="0" borderId="1196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3" fontId="18" fillId="0" borderId="1298" xfId="1" applyNumberFormat="1" applyFont="1" applyBorder="1" applyAlignment="1">
      <alignment horizontal="right" vertical="center" wrapText="1"/>
    </xf>
    <xf numFmtId="3" fontId="18" fillId="0" borderId="1365" xfId="1" applyNumberFormat="1" applyFont="1" applyBorder="1" applyAlignment="1">
      <alignment horizontal="right" vertical="center" wrapText="1"/>
    </xf>
    <xf numFmtId="4" fontId="18" fillId="0" borderId="831" xfId="1" applyNumberFormat="1" applyFont="1" applyBorder="1" applyAlignment="1">
      <alignment horizontal="right" vertical="center" wrapText="1"/>
    </xf>
    <xf numFmtId="0" fontId="18" fillId="0" borderId="1348" xfId="1" applyFont="1" applyBorder="1" applyAlignment="1">
      <alignment horizontal="left" vertical="top" wrapText="1"/>
    </xf>
    <xf numFmtId="0" fontId="18" fillId="0" borderId="1196" xfId="1" applyFont="1" applyBorder="1" applyAlignment="1">
      <alignment horizontal="left" vertical="top" wrapText="1"/>
    </xf>
    <xf numFmtId="0" fontId="18" fillId="0" borderId="13" xfId="1" applyFont="1" applyBorder="1" applyAlignment="1">
      <alignment horizontal="left" vertical="top" wrapText="1"/>
    </xf>
    <xf numFmtId="4" fontId="18" fillId="0" borderId="1196" xfId="1" applyNumberFormat="1" applyFont="1" applyBorder="1" applyAlignment="1">
      <alignment horizontal="center" vertical="center" wrapText="1"/>
    </xf>
    <xf numFmtId="4" fontId="18" fillId="0" borderId="13" xfId="1" applyNumberFormat="1" applyFont="1" applyBorder="1" applyAlignment="1">
      <alignment horizontal="center" vertical="center" wrapText="1"/>
    </xf>
    <xf numFmtId="0" fontId="30" fillId="0" borderId="1196" xfId="1" applyFont="1" applyBorder="1" applyAlignment="1">
      <alignment horizontal="center" vertical="center" wrapText="1"/>
    </xf>
    <xf numFmtId="0" fontId="30" fillId="0" borderId="831" xfId="1" applyFont="1" applyBorder="1" applyAlignment="1">
      <alignment horizontal="center" vertical="center" wrapText="1"/>
    </xf>
    <xf numFmtId="0" fontId="18" fillId="0" borderId="831" xfId="1" applyFont="1" applyBorder="1" applyAlignment="1">
      <alignment horizontal="center" vertical="center"/>
    </xf>
    <xf numFmtId="3" fontId="18" fillId="0" borderId="974" xfId="1" applyNumberFormat="1" applyFont="1" applyBorder="1" applyAlignment="1">
      <alignment horizontal="right" vertical="center" wrapText="1"/>
    </xf>
    <xf numFmtId="4" fontId="18" fillId="0" borderId="974" xfId="1" applyNumberFormat="1" applyFont="1" applyBorder="1" applyAlignment="1">
      <alignment horizontal="right" vertical="center" wrapText="1"/>
    </xf>
    <xf numFmtId="3" fontId="18" fillId="0" borderId="1196" xfId="1" applyNumberFormat="1" applyFont="1" applyBorder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49" fontId="20" fillId="0" borderId="1196" xfId="1" applyNumberFormat="1" applyFont="1" applyFill="1" applyBorder="1" applyAlignment="1">
      <alignment horizontal="center" vertical="center" wrapText="1"/>
    </xf>
    <xf numFmtId="49" fontId="20" fillId="0" borderId="13" xfId="1" applyNumberFormat="1" applyFont="1" applyFill="1" applyBorder="1" applyAlignment="1">
      <alignment horizontal="center" vertical="center" wrapText="1"/>
    </xf>
    <xf numFmtId="49" fontId="20" fillId="0" borderId="1196" xfId="1" applyNumberFormat="1" applyFont="1" applyFill="1" applyBorder="1" applyAlignment="1">
      <alignment horizontal="center" vertical="center"/>
    </xf>
    <xf numFmtId="49" fontId="20" fillId="0" borderId="13" xfId="1" applyNumberFormat="1" applyFont="1" applyFill="1" applyBorder="1" applyAlignment="1">
      <alignment horizontal="center" vertical="center"/>
    </xf>
    <xf numFmtId="49" fontId="12" fillId="0" borderId="1196" xfId="1" applyNumberFormat="1" applyFont="1" applyBorder="1" applyAlignment="1">
      <alignment horizontal="center" vertical="center"/>
    </xf>
    <xf numFmtId="0" fontId="14" fillId="0" borderId="1196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196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49" fontId="10" fillId="0" borderId="1196" xfId="1" applyNumberFormat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49" fontId="30" fillId="0" borderId="1196" xfId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1" fillId="4" borderId="1196" xfId="1" applyFont="1" applyFill="1" applyBorder="1" applyAlignment="1">
      <alignment horizontal="center" vertical="center" wrapText="1"/>
    </xf>
    <xf numFmtId="0" fontId="26" fillId="0" borderId="1196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0" fillId="0" borderId="1196" xfId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/>
    </xf>
    <xf numFmtId="49" fontId="32" fillId="0" borderId="1196" xfId="1" applyNumberFormat="1" applyFont="1" applyBorder="1" applyAlignment="1">
      <alignment horizontal="center" vertical="center"/>
    </xf>
    <xf numFmtId="49" fontId="31" fillId="4" borderId="1196" xfId="1" applyNumberFormat="1" applyFont="1" applyFill="1" applyBorder="1" applyAlignment="1">
      <alignment horizontal="center" vertical="center"/>
    </xf>
    <xf numFmtId="2" fontId="34" fillId="4" borderId="1196" xfId="1" applyNumberFormat="1" applyFont="1" applyFill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0" fontId="92" fillId="0" borderId="0" xfId="13" applyFont="1" applyAlignment="1">
      <alignment horizontal="center" vertical="center"/>
    </xf>
    <xf numFmtId="0" fontId="94" fillId="0" borderId="0" xfId="13" applyFont="1" applyAlignment="1">
      <alignment horizontal="left" vertical="center"/>
    </xf>
    <xf numFmtId="0" fontId="12" fillId="12" borderId="20" xfId="9" applyFont="1" applyFill="1" applyBorder="1" applyAlignment="1">
      <alignment horizontal="left" vertical="center" wrapText="1"/>
    </xf>
    <xf numFmtId="0" fontId="12" fillId="12" borderId="18" xfId="9" applyFont="1" applyFill="1" applyBorder="1" applyAlignment="1">
      <alignment horizontal="center" vertical="center" wrapText="1"/>
    </xf>
    <xf numFmtId="0" fontId="12" fillId="12" borderId="15" xfId="9" applyFont="1" applyFill="1" applyBorder="1" applyAlignment="1">
      <alignment horizontal="center" vertical="center" wrapText="1"/>
    </xf>
    <xf numFmtId="0" fontId="12" fillId="12" borderId="18" xfId="9" applyFont="1" applyFill="1" applyBorder="1" applyAlignment="1">
      <alignment horizontal="left" vertical="center" wrapText="1"/>
    </xf>
    <xf numFmtId="0" fontId="12" fillId="12" borderId="9" xfId="9" applyFont="1" applyFill="1" applyBorder="1" applyAlignment="1">
      <alignment horizontal="left" vertical="center" wrapText="1"/>
    </xf>
    <xf numFmtId="0" fontId="12" fillId="12" borderId="15" xfId="9" applyFont="1" applyFill="1" applyBorder="1" applyAlignment="1">
      <alignment horizontal="left" vertical="center" wrapText="1"/>
    </xf>
    <xf numFmtId="0" fontId="5" fillId="5" borderId="2" xfId="7" applyFont="1" applyFill="1" applyBorder="1" applyAlignment="1">
      <alignment horizontal="center" vertical="center"/>
    </xf>
    <xf numFmtId="0" fontId="5" fillId="5" borderId="5" xfId="7" applyFont="1" applyFill="1" applyBorder="1" applyAlignment="1">
      <alignment horizontal="center" vertical="center"/>
    </xf>
    <xf numFmtId="0" fontId="51" fillId="0" borderId="0" xfId="7" applyFont="1" applyAlignment="1">
      <alignment horizontal="center" vertical="center" wrapText="1"/>
    </xf>
    <xf numFmtId="0" fontId="32" fillId="5" borderId="2" xfId="6" applyFont="1" applyFill="1" applyBorder="1" applyAlignment="1">
      <alignment horizontal="center" vertical="center"/>
    </xf>
    <xf numFmtId="0" fontId="5" fillId="5" borderId="8" xfId="7" applyFont="1" applyFill="1" applyBorder="1" applyAlignment="1">
      <alignment horizontal="center" vertical="center"/>
    </xf>
  </cellXfs>
  <cellStyles count="15">
    <cellStyle name="Normalny" xfId="0" builtinId="0"/>
    <cellStyle name="Normalny 2" xfId="1" xr:uid="{ADC8FF64-344D-48B5-8FA7-836FA75BDD2C}"/>
    <cellStyle name="Normalny 2 3 2" xfId="14" xr:uid="{580DB60B-67CB-472E-A4B3-61260780F96E}"/>
    <cellStyle name="Normalny 3" xfId="3" xr:uid="{2FD397E5-AA16-4E55-BA12-7F09313526C8}"/>
    <cellStyle name="Normalny 3 2 2" xfId="7" xr:uid="{B5E21F48-70F8-4F0D-9090-ECC2C2EA879F}"/>
    <cellStyle name="Normalny 3 2 3" xfId="6" xr:uid="{882CE588-5987-4C7E-926A-8630CD09AA00}"/>
    <cellStyle name="Normalny 3 2 4" xfId="11" xr:uid="{89211F1A-C3E6-414C-A1B0-06B5E75A7B6B}"/>
    <cellStyle name="Normalny 4" xfId="8" xr:uid="{DC718B8B-9597-47AC-8AB4-AD1F5267FF65}"/>
    <cellStyle name="Normalny 6" xfId="12" xr:uid="{01C9D3DB-6C39-453A-B374-4E219EEE0E6B}"/>
    <cellStyle name="Normalny 7" xfId="10" xr:uid="{4C94A5EA-51A1-460B-840A-AC6DC3DF3BD1}"/>
    <cellStyle name="Normalny 7 2" xfId="13" xr:uid="{FC75317A-1C2D-4245-AFFF-5877C95D1444}"/>
    <cellStyle name="Normalny 8" xfId="2" xr:uid="{594FC105-CF8F-45D3-B799-0005FCEFBCAF}"/>
    <cellStyle name="Normalny_Arkusz1" xfId="9" xr:uid="{8F122A65-821F-4EC6-8202-44D310005902}"/>
    <cellStyle name="Procentowy 3 2" xfId="4" xr:uid="{1BA9D56A-3ADC-4FBA-81D8-051125DE7416}"/>
    <cellStyle name="Procentowy 3 3" xfId="5" xr:uid="{7C753947-9548-416A-936F-BEED5B091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E4AFC-7A91-409F-9A82-97C5216E68B4}">
  <sheetPr>
    <tabColor rgb="FF99CCFF"/>
    <pageSetUpPr fitToPage="1"/>
  </sheetPr>
  <dimension ref="A1:BW1259"/>
  <sheetViews>
    <sheetView view="pageBreakPreview" zoomScaleNormal="120" zoomScaleSheetLayoutView="100" workbookViewId="0">
      <pane ySplit="8" topLeftCell="A153" activePane="bottomLeft" state="frozen"/>
      <selection pane="bottomLeft" activeCell="K153" sqref="K153"/>
    </sheetView>
  </sheetViews>
  <sheetFormatPr defaultColWidth="9.140625" defaultRowHeight="15"/>
  <cols>
    <col min="1" max="1" width="8.7109375" style="500" customWidth="1"/>
    <col min="2" max="2" width="8.85546875" style="500" customWidth="1"/>
    <col min="3" max="3" width="55.42578125" style="501" customWidth="1"/>
    <col min="4" max="4" width="10.5703125" style="501" customWidth="1"/>
    <col min="5" max="5" width="15.140625" style="1576" customWidth="1"/>
    <col min="6" max="6" width="16.42578125" style="1576" customWidth="1"/>
    <col min="7" max="7" width="17.85546875" style="1578" customWidth="1"/>
    <col min="8" max="8" width="11.85546875" style="1579" customWidth="1"/>
    <col min="9" max="16384" width="9.140625" style="527"/>
  </cols>
  <sheetData>
    <row r="1" spans="1:8" s="505" customFormat="1" ht="15" customHeight="1">
      <c r="A1" s="500"/>
      <c r="B1" s="500"/>
      <c r="C1" s="501"/>
      <c r="D1" s="502"/>
      <c r="E1" s="502"/>
      <c r="F1" s="502"/>
      <c r="G1" s="503"/>
      <c r="H1" s="504"/>
    </row>
    <row r="2" spans="1:8" s="505" customFormat="1" ht="8.25" customHeight="1">
      <c r="A2" s="500"/>
      <c r="B2" s="500"/>
      <c r="C2" s="501"/>
      <c r="D2" s="502"/>
      <c r="E2" s="502"/>
      <c r="F2" s="502"/>
      <c r="G2" s="503"/>
      <c r="H2" s="504"/>
    </row>
    <row r="3" spans="1:8" s="505" customFormat="1" ht="21" customHeight="1">
      <c r="A3" s="4537" t="s">
        <v>363</v>
      </c>
      <c r="B3" s="4537"/>
      <c r="C3" s="4537"/>
      <c r="D3" s="4537"/>
      <c r="E3" s="4537"/>
      <c r="F3" s="4537"/>
      <c r="G3" s="4537"/>
      <c r="H3" s="4537"/>
    </row>
    <row r="4" spans="1:8" s="505" customFormat="1" ht="44.25" customHeight="1">
      <c r="A4" s="4537" t="s">
        <v>364</v>
      </c>
      <c r="B4" s="4537"/>
      <c r="C4" s="4537"/>
      <c r="D4" s="4537"/>
      <c r="E4" s="4537"/>
      <c r="F4" s="4537"/>
      <c r="G4" s="4537"/>
      <c r="H4" s="4537"/>
    </row>
    <row r="5" spans="1:8" s="505" customFormat="1" ht="24" customHeight="1">
      <c r="A5" s="506"/>
      <c r="B5" s="506"/>
      <c r="C5" s="506"/>
      <c r="D5" s="506"/>
      <c r="E5" s="506"/>
      <c r="F5" s="506"/>
      <c r="G5" s="507"/>
      <c r="H5" s="508"/>
    </row>
    <row r="6" spans="1:8" s="505" customFormat="1" ht="12" customHeight="1" thickBot="1">
      <c r="A6" s="509"/>
      <c r="B6" s="510"/>
      <c r="C6" s="511"/>
      <c r="D6" s="511"/>
      <c r="E6" s="512"/>
      <c r="F6" s="512"/>
      <c r="G6" s="513"/>
      <c r="H6" s="514" t="s">
        <v>248</v>
      </c>
    </row>
    <row r="7" spans="1:8" s="505" customFormat="1" ht="38.25" customHeight="1" thickBot="1">
      <c r="A7" s="4538" t="s">
        <v>1</v>
      </c>
      <c r="B7" s="4538" t="s">
        <v>365</v>
      </c>
      <c r="C7" s="4538" t="s">
        <v>366</v>
      </c>
      <c r="D7" s="4539" t="s">
        <v>4</v>
      </c>
      <c r="E7" s="4540" t="s">
        <v>249</v>
      </c>
      <c r="F7" s="4540" t="s">
        <v>250</v>
      </c>
      <c r="G7" s="4542" t="s">
        <v>251</v>
      </c>
      <c r="H7" s="4540" t="s">
        <v>367</v>
      </c>
    </row>
    <row r="8" spans="1:8" s="505" customFormat="1" ht="17.25" customHeight="1" thickBot="1">
      <c r="A8" s="4538"/>
      <c r="B8" s="4538"/>
      <c r="C8" s="4538"/>
      <c r="D8" s="4539"/>
      <c r="E8" s="4541"/>
      <c r="F8" s="4541"/>
      <c r="G8" s="4543"/>
      <c r="H8" s="4541"/>
    </row>
    <row r="9" spans="1:8" s="505" customFormat="1" ht="15.75" thickBot="1">
      <c r="A9" s="515" t="s">
        <v>253</v>
      </c>
      <c r="B9" s="516" t="s">
        <v>254</v>
      </c>
      <c r="C9" s="515" t="s">
        <v>255</v>
      </c>
      <c r="D9" s="517" t="s">
        <v>256</v>
      </c>
      <c r="E9" s="518" t="s">
        <v>257</v>
      </c>
      <c r="F9" s="518" t="s">
        <v>258</v>
      </c>
      <c r="G9" s="519" t="s">
        <v>259</v>
      </c>
      <c r="H9" s="520" t="s">
        <v>260</v>
      </c>
    </row>
    <row r="10" spans="1:8" ht="15.75" thickBot="1">
      <c r="A10" s="521" t="s">
        <v>13</v>
      </c>
      <c r="B10" s="522"/>
      <c r="C10" s="523" t="s">
        <v>261</v>
      </c>
      <c r="D10" s="523"/>
      <c r="E10" s="524">
        <f>SUM(E11,E19,E25,E33,)</f>
        <v>36071000</v>
      </c>
      <c r="F10" s="524">
        <f>SUM(F11,F19,F25,F33,)</f>
        <v>36627142</v>
      </c>
      <c r="G10" s="525">
        <f>SUM(G11,G19,G25,G33,)</f>
        <v>42051387.969999999</v>
      </c>
      <c r="H10" s="526">
        <f>G10/F10</f>
        <v>1.1480936178422001</v>
      </c>
    </row>
    <row r="11" spans="1:8" ht="15.75" thickBot="1">
      <c r="A11" s="528"/>
      <c r="B11" s="529" t="s">
        <v>368</v>
      </c>
      <c r="C11" s="530" t="s">
        <v>369</v>
      </c>
      <c r="D11" s="531"/>
      <c r="E11" s="532">
        <f>SUM(E12,E17)</f>
        <v>18833000</v>
      </c>
      <c r="F11" s="532">
        <f>SUM(F12,F17)</f>
        <v>14984510</v>
      </c>
      <c r="G11" s="533">
        <f>SUM(G12,G17)</f>
        <v>13712634.549999999</v>
      </c>
      <c r="H11" s="534">
        <f t="shared" ref="H11:H99" si="0">G11/F11</f>
        <v>0.91512065125920028</v>
      </c>
    </row>
    <row r="12" spans="1:8" ht="15" customHeight="1">
      <c r="A12" s="535"/>
      <c r="B12" s="4398" t="s">
        <v>370</v>
      </c>
      <c r="C12" s="4398"/>
      <c r="D12" s="536"/>
      <c r="E12" s="537">
        <f>SUM(E13:E16)</f>
        <v>18833000</v>
      </c>
      <c r="F12" s="537">
        <f>SUM(F13:F16)</f>
        <v>14984510</v>
      </c>
      <c r="G12" s="538">
        <f>SUM(G13:G16)</f>
        <v>13707309.35</v>
      </c>
      <c r="H12" s="539">
        <f>G12/F12</f>
        <v>0.91476527093645366</v>
      </c>
    </row>
    <row r="13" spans="1:8" ht="15" customHeight="1">
      <c r="A13" s="535"/>
      <c r="B13" s="4399"/>
      <c r="C13" s="4444" t="s">
        <v>371</v>
      </c>
      <c r="D13" s="540" t="s">
        <v>372</v>
      </c>
      <c r="E13" s="541">
        <v>22500</v>
      </c>
      <c r="F13" s="541">
        <v>22500</v>
      </c>
      <c r="G13" s="542">
        <v>22497.599999999999</v>
      </c>
      <c r="H13" s="543">
        <f>G13/F13</f>
        <v>0.9998933333333333</v>
      </c>
    </row>
    <row r="14" spans="1:8" ht="16.5" customHeight="1">
      <c r="A14" s="535"/>
      <c r="B14" s="4400"/>
      <c r="C14" s="4536"/>
      <c r="D14" s="544" t="s">
        <v>373</v>
      </c>
      <c r="E14" s="545">
        <v>18808300</v>
      </c>
      <c r="F14" s="545">
        <v>14959810</v>
      </c>
      <c r="G14" s="546">
        <v>13682146.550000001</v>
      </c>
      <c r="H14" s="547">
        <f>G14/F14</f>
        <v>0.91459360446422788</v>
      </c>
    </row>
    <row r="15" spans="1:8" ht="16.5" customHeight="1">
      <c r="A15" s="535"/>
      <c r="B15" s="4400"/>
      <c r="C15" s="4536"/>
      <c r="D15" s="540" t="s">
        <v>374</v>
      </c>
      <c r="E15" s="545">
        <v>0</v>
      </c>
      <c r="F15" s="545">
        <v>0</v>
      </c>
      <c r="G15" s="546">
        <v>60</v>
      </c>
      <c r="H15" s="548"/>
    </row>
    <row r="16" spans="1:8" ht="17.25" customHeight="1">
      <c r="A16" s="535"/>
      <c r="B16" s="4401"/>
      <c r="C16" s="4445"/>
      <c r="D16" s="549" t="s">
        <v>71</v>
      </c>
      <c r="E16" s="545">
        <v>2200</v>
      </c>
      <c r="F16" s="545">
        <v>2200</v>
      </c>
      <c r="G16" s="546">
        <v>2605.1999999999998</v>
      </c>
      <c r="H16" s="547">
        <f>G16/F16</f>
        <v>1.184181818181818</v>
      </c>
    </row>
    <row r="17" spans="1:8">
      <c r="A17" s="535"/>
      <c r="B17" s="4505" t="s">
        <v>375</v>
      </c>
      <c r="C17" s="4506"/>
      <c r="D17" s="550"/>
      <c r="E17" s="551">
        <f>SUM(E18)</f>
        <v>0</v>
      </c>
      <c r="F17" s="551">
        <f t="shared" ref="F17:G17" si="1">SUM(F18)</f>
        <v>0</v>
      </c>
      <c r="G17" s="552">
        <f t="shared" si="1"/>
        <v>5325.2</v>
      </c>
      <c r="H17" s="553"/>
    </row>
    <row r="18" spans="1:8" ht="26.25" thickBot="1">
      <c r="A18" s="535"/>
      <c r="B18" s="554"/>
      <c r="C18" s="555" t="s">
        <v>371</v>
      </c>
      <c r="D18" s="556" t="s">
        <v>376</v>
      </c>
      <c r="E18" s="557">
        <v>0</v>
      </c>
      <c r="F18" s="557">
        <v>0</v>
      </c>
      <c r="G18" s="558">
        <v>5325.2</v>
      </c>
      <c r="H18" s="559"/>
    </row>
    <row r="19" spans="1:8" ht="15.75" thickBot="1">
      <c r="A19" s="535"/>
      <c r="B19" s="529" t="s">
        <v>377</v>
      </c>
      <c r="C19" s="530" t="s">
        <v>378</v>
      </c>
      <c r="D19" s="531"/>
      <c r="E19" s="532">
        <f>SUM(E20,E24)</f>
        <v>7430000</v>
      </c>
      <c r="F19" s="532">
        <f t="shared" ref="F19:G19" si="2">SUM(F20,F24)</f>
        <v>7430000</v>
      </c>
      <c r="G19" s="533">
        <f t="shared" si="2"/>
        <v>7235657.7800000003</v>
      </c>
      <c r="H19" s="534">
        <f t="shared" si="0"/>
        <v>0.97384357738896365</v>
      </c>
    </row>
    <row r="20" spans="1:8">
      <c r="A20" s="535"/>
      <c r="B20" s="4397" t="s">
        <v>370</v>
      </c>
      <c r="C20" s="4529"/>
      <c r="D20" s="560"/>
      <c r="E20" s="561">
        <f>SUM(E21:E23)</f>
        <v>7430000</v>
      </c>
      <c r="F20" s="561">
        <f t="shared" ref="F20:G20" si="3">SUM(F21:F23)</f>
        <v>7430000</v>
      </c>
      <c r="G20" s="562">
        <f t="shared" si="3"/>
        <v>7235657.7800000003</v>
      </c>
      <c r="H20" s="539">
        <f t="shared" si="0"/>
        <v>0.97384357738896365</v>
      </c>
    </row>
    <row r="21" spans="1:8" ht="25.5" hidden="1">
      <c r="A21" s="535"/>
      <c r="B21" s="563"/>
      <c r="C21" s="564" t="s">
        <v>379</v>
      </c>
      <c r="D21" s="565" t="s">
        <v>380</v>
      </c>
      <c r="E21" s="566">
        <v>0</v>
      </c>
      <c r="F21" s="566">
        <v>0</v>
      </c>
      <c r="G21" s="567">
        <v>0</v>
      </c>
      <c r="H21" s="568"/>
    </row>
    <row r="22" spans="1:8" ht="39.75" customHeight="1">
      <c r="A22" s="535"/>
      <c r="B22" s="569"/>
      <c r="C22" s="570" t="s">
        <v>381</v>
      </c>
      <c r="D22" s="571">
        <v>2058</v>
      </c>
      <c r="E22" s="545">
        <v>4727000</v>
      </c>
      <c r="F22" s="545">
        <v>4727000</v>
      </c>
      <c r="G22" s="546">
        <v>4604046.58</v>
      </c>
      <c r="H22" s="547">
        <f t="shared" si="0"/>
        <v>0.97398912206473454</v>
      </c>
    </row>
    <row r="23" spans="1:8" ht="41.25" customHeight="1">
      <c r="A23" s="535"/>
      <c r="B23" s="572"/>
      <c r="C23" s="573" t="s">
        <v>382</v>
      </c>
      <c r="D23" s="574">
        <v>2059</v>
      </c>
      <c r="E23" s="545">
        <v>2703000</v>
      </c>
      <c r="F23" s="545">
        <v>2703000</v>
      </c>
      <c r="G23" s="546">
        <v>2631611.2000000002</v>
      </c>
      <c r="H23" s="547">
        <f t="shared" si="0"/>
        <v>0.97358904920458755</v>
      </c>
    </row>
    <row r="24" spans="1:8" ht="15.75" thickBot="1">
      <c r="A24" s="575"/>
      <c r="B24" s="4502" t="s">
        <v>375</v>
      </c>
      <c r="C24" s="4474"/>
      <c r="D24" s="576"/>
      <c r="E24" s="577">
        <v>0</v>
      </c>
      <c r="F24" s="577">
        <v>0</v>
      </c>
      <c r="G24" s="578">
        <v>0</v>
      </c>
      <c r="H24" s="579"/>
    </row>
    <row r="25" spans="1:8" ht="15.75" thickBot="1">
      <c r="A25" s="528"/>
      <c r="B25" s="529" t="s">
        <v>16</v>
      </c>
      <c r="C25" s="531" t="s">
        <v>17</v>
      </c>
      <c r="D25" s="531"/>
      <c r="E25" s="532">
        <f>SUM(E31,E26)</f>
        <v>9500000</v>
      </c>
      <c r="F25" s="532">
        <f>SUM(F31,F26)</f>
        <v>9500000</v>
      </c>
      <c r="G25" s="533">
        <f>SUM(G31,G26)</f>
        <v>16391426.470000001</v>
      </c>
      <c r="H25" s="534">
        <f t="shared" si="0"/>
        <v>1.7254133126315789</v>
      </c>
    </row>
    <row r="26" spans="1:8">
      <c r="A26" s="535"/>
      <c r="B26" s="4526" t="s">
        <v>370</v>
      </c>
      <c r="C26" s="4526"/>
      <c r="D26" s="580"/>
      <c r="E26" s="537">
        <f>SUM(E27:E30)</f>
        <v>9500000</v>
      </c>
      <c r="F26" s="537">
        <f>SUM(F27:F30)</f>
        <v>9500000</v>
      </c>
      <c r="G26" s="538">
        <f>SUM(G27:G30)</f>
        <v>16390947.060000001</v>
      </c>
      <c r="H26" s="539">
        <f t="shared" si="0"/>
        <v>1.7253628484210526</v>
      </c>
    </row>
    <row r="27" spans="1:8" ht="15.75" customHeight="1">
      <c r="A27" s="535"/>
      <c r="B27" s="581"/>
      <c r="C27" s="582" t="s">
        <v>383</v>
      </c>
      <c r="D27" s="583" t="s">
        <v>18</v>
      </c>
      <c r="E27" s="545">
        <v>9500000</v>
      </c>
      <c r="F27" s="545">
        <v>9500000</v>
      </c>
      <c r="G27" s="546">
        <v>16319682.93</v>
      </c>
      <c r="H27" s="547">
        <f t="shared" si="0"/>
        <v>1.7178613610526317</v>
      </c>
    </row>
    <row r="28" spans="1:8" ht="27.75" customHeight="1">
      <c r="A28" s="535"/>
      <c r="B28" s="584"/>
      <c r="C28" s="585" t="s">
        <v>384</v>
      </c>
      <c r="D28" s="540" t="s">
        <v>20</v>
      </c>
      <c r="E28" s="545">
        <v>0</v>
      </c>
      <c r="F28" s="545">
        <v>0</v>
      </c>
      <c r="G28" s="546">
        <v>71264.13</v>
      </c>
      <c r="H28" s="547"/>
    </row>
    <row r="29" spans="1:8" ht="38.25" hidden="1">
      <c r="A29" s="535"/>
      <c r="B29" s="586"/>
      <c r="C29" s="587" t="s">
        <v>385</v>
      </c>
      <c r="D29" s="549" t="s">
        <v>386</v>
      </c>
      <c r="E29" s="566">
        <v>0</v>
      </c>
      <c r="F29" s="566">
        <v>0</v>
      </c>
      <c r="G29" s="567">
        <v>0</v>
      </c>
      <c r="H29" s="559" t="e">
        <f t="shared" si="0"/>
        <v>#DIV/0!</v>
      </c>
    </row>
    <row r="30" spans="1:8" ht="42.75" hidden="1" customHeight="1" thickBot="1">
      <c r="A30" s="535"/>
      <c r="B30" s="586"/>
      <c r="C30" s="588" t="s">
        <v>387</v>
      </c>
      <c r="D30" s="589" t="s">
        <v>201</v>
      </c>
      <c r="E30" s="590">
        <v>0</v>
      </c>
      <c r="F30" s="590">
        <v>0</v>
      </c>
      <c r="G30" s="591">
        <v>0</v>
      </c>
      <c r="H30" s="592" t="e">
        <f t="shared" si="0"/>
        <v>#DIV/0!</v>
      </c>
    </row>
    <row r="31" spans="1:8">
      <c r="A31" s="535"/>
      <c r="B31" s="4527" t="s">
        <v>375</v>
      </c>
      <c r="C31" s="4528"/>
      <c r="D31" s="593"/>
      <c r="E31" s="594">
        <f>SUM(E32)</f>
        <v>0</v>
      </c>
      <c r="F31" s="594">
        <f>SUM(F32)</f>
        <v>0</v>
      </c>
      <c r="G31" s="595">
        <f>SUM(G32)</f>
        <v>479.41</v>
      </c>
      <c r="H31" s="596"/>
    </row>
    <row r="32" spans="1:8" ht="28.5" customHeight="1" thickBot="1">
      <c r="A32" s="535"/>
      <c r="B32" s="597"/>
      <c r="C32" s="598" t="s">
        <v>388</v>
      </c>
      <c r="D32" s="599" t="s">
        <v>178</v>
      </c>
      <c r="E32" s="600">
        <v>0</v>
      </c>
      <c r="F32" s="600">
        <v>0</v>
      </c>
      <c r="G32" s="601">
        <v>479.41</v>
      </c>
      <c r="H32" s="602"/>
    </row>
    <row r="33" spans="1:8" ht="15.75" thickBot="1">
      <c r="A33" s="535"/>
      <c r="B33" s="603" t="s">
        <v>265</v>
      </c>
      <c r="C33" s="530" t="s">
        <v>95</v>
      </c>
      <c r="D33" s="604"/>
      <c r="E33" s="605">
        <f>E34+E41</f>
        <v>308000</v>
      </c>
      <c r="F33" s="605">
        <f>F34+F41</f>
        <v>4712632</v>
      </c>
      <c r="G33" s="606">
        <f>G34+G41</f>
        <v>4711669.1700000009</v>
      </c>
      <c r="H33" s="607">
        <f t="shared" si="0"/>
        <v>0.99979569166444582</v>
      </c>
    </row>
    <row r="34" spans="1:8">
      <c r="A34" s="535"/>
      <c r="B34" s="4397" t="s">
        <v>370</v>
      </c>
      <c r="C34" s="4529"/>
      <c r="D34" s="608"/>
      <c r="E34" s="551">
        <f>SUM(E35:E40)</f>
        <v>308000</v>
      </c>
      <c r="F34" s="551">
        <f t="shared" ref="F34" si="4">SUM(F35:F40)</f>
        <v>4712632</v>
      </c>
      <c r="G34" s="552">
        <f>SUM(G35:G40)</f>
        <v>4711669.1700000009</v>
      </c>
      <c r="H34" s="553">
        <f t="shared" si="0"/>
        <v>0.99979569166444582</v>
      </c>
    </row>
    <row r="35" spans="1:8" ht="38.25">
      <c r="A35" s="535"/>
      <c r="B35" s="4530"/>
      <c r="C35" s="609" t="s">
        <v>389</v>
      </c>
      <c r="D35" s="540" t="s">
        <v>390</v>
      </c>
      <c r="E35" s="545">
        <v>0</v>
      </c>
      <c r="F35" s="545">
        <v>0</v>
      </c>
      <c r="G35" s="546">
        <v>5.61</v>
      </c>
      <c r="H35" s="547"/>
    </row>
    <row r="36" spans="1:8" ht="29.25" customHeight="1">
      <c r="A36" s="535"/>
      <c r="B36" s="4531"/>
      <c r="C36" s="609" t="s">
        <v>391</v>
      </c>
      <c r="D36" s="540" t="s">
        <v>392</v>
      </c>
      <c r="E36" s="545">
        <v>0</v>
      </c>
      <c r="F36" s="545">
        <v>0</v>
      </c>
      <c r="G36" s="546">
        <v>19</v>
      </c>
      <c r="H36" s="547"/>
    </row>
    <row r="37" spans="1:8" ht="54" customHeight="1">
      <c r="A37" s="535"/>
      <c r="B37" s="4531"/>
      <c r="C37" s="610" t="s">
        <v>393</v>
      </c>
      <c r="D37" s="611" t="s">
        <v>374</v>
      </c>
      <c r="E37" s="557">
        <v>0</v>
      </c>
      <c r="F37" s="557">
        <v>708</v>
      </c>
      <c r="G37" s="558">
        <v>707.1</v>
      </c>
      <c r="H37" s="547">
        <f t="shared" si="0"/>
        <v>0.99872881355932208</v>
      </c>
    </row>
    <row r="38" spans="1:8" ht="40.5" customHeight="1">
      <c r="A38" s="535"/>
      <c r="B38" s="4531"/>
      <c r="C38" s="612" t="s">
        <v>394</v>
      </c>
      <c r="D38" s="613">
        <v>2210</v>
      </c>
      <c r="E38" s="566">
        <v>308000</v>
      </c>
      <c r="F38" s="566">
        <v>4614204</v>
      </c>
      <c r="G38" s="567">
        <v>4612298.4800000004</v>
      </c>
      <c r="H38" s="568">
        <f t="shared" si="0"/>
        <v>0.99958703169604124</v>
      </c>
    </row>
    <row r="39" spans="1:8" ht="27" customHeight="1">
      <c r="A39" s="535"/>
      <c r="B39" s="4531"/>
      <c r="C39" s="582" t="s">
        <v>395</v>
      </c>
      <c r="D39" s="614">
        <v>2460</v>
      </c>
      <c r="E39" s="590">
        <v>0</v>
      </c>
      <c r="F39" s="590">
        <v>97720</v>
      </c>
      <c r="G39" s="591">
        <v>97720</v>
      </c>
      <c r="H39" s="592">
        <f t="shared" si="0"/>
        <v>1</v>
      </c>
    </row>
    <row r="40" spans="1:8" ht="30" customHeight="1">
      <c r="A40" s="535"/>
      <c r="B40" s="4532"/>
      <c r="C40" s="615" t="s">
        <v>396</v>
      </c>
      <c r="D40" s="616">
        <v>2950</v>
      </c>
      <c r="E40" s="590">
        <v>0</v>
      </c>
      <c r="F40" s="590">
        <v>0</v>
      </c>
      <c r="G40" s="591">
        <v>918.98</v>
      </c>
      <c r="H40" s="592"/>
    </row>
    <row r="41" spans="1:8" ht="15.75" thickBot="1">
      <c r="A41" s="575"/>
      <c r="B41" s="4533" t="s">
        <v>375</v>
      </c>
      <c r="C41" s="4385"/>
      <c r="D41" s="576"/>
      <c r="E41" s="577">
        <v>0</v>
      </c>
      <c r="F41" s="577">
        <v>0</v>
      </c>
      <c r="G41" s="578">
        <v>0</v>
      </c>
      <c r="H41" s="579"/>
    </row>
    <row r="42" spans="1:8" ht="15.75" customHeight="1" thickBot="1">
      <c r="A42" s="617" t="s">
        <v>397</v>
      </c>
      <c r="B42" s="618"/>
      <c r="C42" s="619" t="s">
        <v>398</v>
      </c>
      <c r="D42" s="620"/>
      <c r="E42" s="524">
        <f t="shared" ref="E42:G42" si="5">SUM(E43)</f>
        <v>490000</v>
      </c>
      <c r="F42" s="524">
        <f t="shared" si="5"/>
        <v>460000</v>
      </c>
      <c r="G42" s="525">
        <f t="shared" si="5"/>
        <v>428762.55</v>
      </c>
      <c r="H42" s="526">
        <f t="shared" si="0"/>
        <v>0.93209249999999999</v>
      </c>
    </row>
    <row r="43" spans="1:8" ht="42" customHeight="1" thickBot="1">
      <c r="A43" s="4519"/>
      <c r="B43" s="621" t="s">
        <v>399</v>
      </c>
      <c r="C43" s="530" t="s">
        <v>400</v>
      </c>
      <c r="D43" s="531"/>
      <c r="E43" s="532">
        <f>SUM(E44,E47)</f>
        <v>490000</v>
      </c>
      <c r="F43" s="532">
        <f>SUM(F44,F47)</f>
        <v>460000</v>
      </c>
      <c r="G43" s="533">
        <f>SUM(G44,G47)</f>
        <v>428762.55</v>
      </c>
      <c r="H43" s="534">
        <f t="shared" si="0"/>
        <v>0.93209249999999999</v>
      </c>
    </row>
    <row r="44" spans="1:8">
      <c r="A44" s="4520"/>
      <c r="B44" s="4397" t="s">
        <v>370</v>
      </c>
      <c r="C44" s="4413"/>
      <c r="D44" s="560"/>
      <c r="E44" s="561">
        <f t="shared" ref="E44:G44" si="6">SUM(E45:E46)</f>
        <v>490000</v>
      </c>
      <c r="F44" s="561">
        <f t="shared" si="6"/>
        <v>460000</v>
      </c>
      <c r="G44" s="562">
        <f t="shared" si="6"/>
        <v>428762.55</v>
      </c>
      <c r="H44" s="539">
        <f t="shared" si="0"/>
        <v>0.93209249999999999</v>
      </c>
    </row>
    <row r="45" spans="1:8" ht="41.25" customHeight="1">
      <c r="A45" s="4520"/>
      <c r="B45" s="4535"/>
      <c r="C45" s="622" t="s">
        <v>401</v>
      </c>
      <c r="D45" s="614">
        <v>2058</v>
      </c>
      <c r="E45" s="545">
        <v>367000</v>
      </c>
      <c r="F45" s="545">
        <v>344500</v>
      </c>
      <c r="G45" s="546">
        <v>321571.37</v>
      </c>
      <c r="H45" s="547">
        <f t="shared" si="0"/>
        <v>0.93344374455732948</v>
      </c>
    </row>
    <row r="46" spans="1:8" ht="39.75" customHeight="1">
      <c r="A46" s="4520"/>
      <c r="B46" s="4535"/>
      <c r="C46" s="622" t="s">
        <v>402</v>
      </c>
      <c r="D46" s="614">
        <v>2059</v>
      </c>
      <c r="E46" s="545">
        <v>123000</v>
      </c>
      <c r="F46" s="545">
        <v>115500</v>
      </c>
      <c r="G46" s="546">
        <v>107191.18</v>
      </c>
      <c r="H46" s="547">
        <f t="shared" si="0"/>
        <v>0.92806216450216439</v>
      </c>
    </row>
    <row r="47" spans="1:8" ht="15.75" thickBot="1">
      <c r="A47" s="4534"/>
      <c r="B47" s="4384" t="s">
        <v>375</v>
      </c>
      <c r="C47" s="4474"/>
      <c r="D47" s="623"/>
      <c r="E47" s="577">
        <v>0</v>
      </c>
      <c r="F47" s="577">
        <v>0</v>
      </c>
      <c r="G47" s="578">
        <v>0</v>
      </c>
      <c r="H47" s="579"/>
    </row>
    <row r="48" spans="1:8" ht="15.75" customHeight="1" thickBot="1">
      <c r="A48" s="617" t="s">
        <v>403</v>
      </c>
      <c r="B48" s="618"/>
      <c r="C48" s="620" t="s">
        <v>404</v>
      </c>
      <c r="D48" s="624"/>
      <c r="E48" s="625">
        <f t="shared" ref="E48:G48" si="7">SUM(E49)</f>
        <v>1474</v>
      </c>
      <c r="F48" s="625">
        <f t="shared" si="7"/>
        <v>1474</v>
      </c>
      <c r="G48" s="626">
        <f t="shared" si="7"/>
        <v>1559.72</v>
      </c>
      <c r="H48" s="627">
        <f t="shared" si="0"/>
        <v>1.0581546811397557</v>
      </c>
    </row>
    <row r="49" spans="1:8" ht="15" customHeight="1">
      <c r="A49" s="4519"/>
      <c r="B49" s="628" t="s">
        <v>405</v>
      </c>
      <c r="C49" s="629" t="s">
        <v>95</v>
      </c>
      <c r="D49" s="630"/>
      <c r="E49" s="532">
        <f t="shared" ref="E49:G49" si="8">SUM(E53,E50)</f>
        <v>1474</v>
      </c>
      <c r="F49" s="532">
        <f t="shared" si="8"/>
        <v>1474</v>
      </c>
      <c r="G49" s="533">
        <f t="shared" si="8"/>
        <v>1559.72</v>
      </c>
      <c r="H49" s="534">
        <f t="shared" si="0"/>
        <v>1.0581546811397557</v>
      </c>
    </row>
    <row r="50" spans="1:8">
      <c r="A50" s="4520"/>
      <c r="B50" s="4505" t="s">
        <v>370</v>
      </c>
      <c r="C50" s="4465"/>
      <c r="D50" s="608"/>
      <c r="E50" s="551">
        <f>SUM(E51+E52)</f>
        <v>1474</v>
      </c>
      <c r="F50" s="551">
        <f t="shared" ref="F50:G50" si="9">SUM(F51+F52)</f>
        <v>1474</v>
      </c>
      <c r="G50" s="552">
        <f t="shared" si="9"/>
        <v>1559.72</v>
      </c>
      <c r="H50" s="553">
        <f t="shared" si="0"/>
        <v>1.0581546811397557</v>
      </c>
    </row>
    <row r="51" spans="1:8" ht="41.25" customHeight="1">
      <c r="A51" s="4520"/>
      <c r="B51" s="4521"/>
      <c r="C51" s="631" t="s">
        <v>406</v>
      </c>
      <c r="D51" s="589" t="s">
        <v>386</v>
      </c>
      <c r="E51" s="541">
        <v>0</v>
      </c>
      <c r="F51" s="541">
        <v>0</v>
      </c>
      <c r="G51" s="542">
        <v>15.5</v>
      </c>
      <c r="H51" s="632"/>
    </row>
    <row r="52" spans="1:8" ht="39" customHeight="1">
      <c r="A52" s="4520"/>
      <c r="B52" s="4426"/>
      <c r="C52" s="633" t="s">
        <v>407</v>
      </c>
      <c r="D52" s="616">
        <v>2360</v>
      </c>
      <c r="E52" s="541">
        <v>1474</v>
      </c>
      <c r="F52" s="541">
        <v>1474</v>
      </c>
      <c r="G52" s="542">
        <v>1544.22</v>
      </c>
      <c r="H52" s="632">
        <f t="shared" si="0"/>
        <v>1.0476390773405699</v>
      </c>
    </row>
    <row r="53" spans="1:8" s="505" customFormat="1" ht="15.75" thickBot="1">
      <c r="A53" s="4520"/>
      <c r="B53" s="4461" t="s">
        <v>408</v>
      </c>
      <c r="C53" s="4462"/>
      <c r="D53" s="634"/>
      <c r="E53" s="635">
        <v>0</v>
      </c>
      <c r="F53" s="635">
        <v>0</v>
      </c>
      <c r="G53" s="636">
        <v>0</v>
      </c>
      <c r="H53" s="637"/>
    </row>
    <row r="54" spans="1:8" ht="17.25" customHeight="1" thickBot="1">
      <c r="A54" s="638" t="s">
        <v>409</v>
      </c>
      <c r="B54" s="617"/>
      <c r="C54" s="619" t="s">
        <v>410</v>
      </c>
      <c r="D54" s="639"/>
      <c r="E54" s="640">
        <f>E55</f>
        <v>0</v>
      </c>
      <c r="F54" s="625">
        <f t="shared" ref="F54:G54" si="10">F55</f>
        <v>362247</v>
      </c>
      <c r="G54" s="641">
        <f t="shared" si="10"/>
        <v>297593.46999999997</v>
      </c>
      <c r="H54" s="627">
        <f t="shared" si="0"/>
        <v>0.82152086835777793</v>
      </c>
    </row>
    <row r="55" spans="1:8" ht="15.75" thickBot="1">
      <c r="A55" s="4522"/>
      <c r="B55" s="603" t="s">
        <v>411</v>
      </c>
      <c r="C55" s="642" t="s">
        <v>412</v>
      </c>
      <c r="D55" s="530"/>
      <c r="E55" s="643">
        <f>E56+E60</f>
        <v>0</v>
      </c>
      <c r="F55" s="605">
        <f>F56+F60</f>
        <v>362247</v>
      </c>
      <c r="G55" s="644">
        <f>G56+G60</f>
        <v>297593.46999999997</v>
      </c>
      <c r="H55" s="607">
        <f t="shared" si="0"/>
        <v>0.82152086835777793</v>
      </c>
    </row>
    <row r="56" spans="1:8" ht="16.5" customHeight="1">
      <c r="A56" s="4523"/>
      <c r="B56" s="4511" t="s">
        <v>370</v>
      </c>
      <c r="C56" s="4525"/>
      <c r="D56" s="645"/>
      <c r="E56" s="646">
        <f>SUM(E57:E59)</f>
        <v>0</v>
      </c>
      <c r="F56" s="646">
        <f>SUM(F57:F59)</f>
        <v>239163</v>
      </c>
      <c r="G56" s="647">
        <f>SUM(G57:G59)</f>
        <v>236108.71</v>
      </c>
      <c r="H56" s="648">
        <f t="shared" si="0"/>
        <v>0.98722925368890668</v>
      </c>
    </row>
    <row r="57" spans="1:8" ht="51">
      <c r="A57" s="4523"/>
      <c r="B57" s="649"/>
      <c r="C57" s="631" t="s">
        <v>413</v>
      </c>
      <c r="D57" s="650">
        <v>2919</v>
      </c>
      <c r="E57" s="545">
        <v>0</v>
      </c>
      <c r="F57" s="545">
        <v>5884</v>
      </c>
      <c r="G57" s="546">
        <v>5883.4</v>
      </c>
      <c r="H57" s="651">
        <f t="shared" si="0"/>
        <v>0.99989802855200538</v>
      </c>
    </row>
    <row r="58" spans="1:8" ht="39" thickBot="1">
      <c r="A58" s="4524"/>
      <c r="B58" s="652"/>
      <c r="C58" s="653" t="s">
        <v>414</v>
      </c>
      <c r="D58" s="654">
        <v>2959</v>
      </c>
      <c r="E58" s="600">
        <v>0</v>
      </c>
      <c r="F58" s="600">
        <v>8279</v>
      </c>
      <c r="G58" s="601">
        <v>8278.32</v>
      </c>
      <c r="H58" s="655">
        <f t="shared" si="0"/>
        <v>0.99991786447638598</v>
      </c>
    </row>
    <row r="59" spans="1:8" ht="51.75" customHeight="1">
      <c r="A59" s="4508"/>
      <c r="B59" s="572"/>
      <c r="C59" s="656" t="s">
        <v>415</v>
      </c>
      <c r="D59" s="657">
        <v>2957</v>
      </c>
      <c r="E59" s="557">
        <v>0</v>
      </c>
      <c r="F59" s="557">
        <v>225000</v>
      </c>
      <c r="G59" s="558">
        <v>221946.99</v>
      </c>
      <c r="H59" s="658">
        <f t="shared" si="0"/>
        <v>0.98643106666666658</v>
      </c>
    </row>
    <row r="60" spans="1:8" ht="14.25" customHeight="1">
      <c r="A60" s="4509"/>
      <c r="B60" s="4511" t="s">
        <v>416</v>
      </c>
      <c r="C60" s="4512"/>
      <c r="D60" s="645"/>
      <c r="E60" s="646">
        <f>SUM(E61:E62)</f>
        <v>0</v>
      </c>
      <c r="F60" s="646">
        <f t="shared" ref="F60:G60" si="11">SUM(F61:F62)</f>
        <v>123084</v>
      </c>
      <c r="G60" s="647">
        <f t="shared" si="11"/>
        <v>61484.76</v>
      </c>
      <c r="H60" s="659">
        <f t="shared" si="0"/>
        <v>0.49953495174027496</v>
      </c>
    </row>
    <row r="61" spans="1:8" ht="63.75">
      <c r="A61" s="4509"/>
      <c r="B61" s="4513"/>
      <c r="C61" s="660" t="s">
        <v>417</v>
      </c>
      <c r="D61" s="4515">
        <v>6669</v>
      </c>
      <c r="E61" s="545">
        <v>0</v>
      </c>
      <c r="F61" s="545">
        <v>2046</v>
      </c>
      <c r="G61" s="546">
        <v>2045.3</v>
      </c>
      <c r="H61" s="651">
        <f t="shared" si="0"/>
        <v>0.9996578690127077</v>
      </c>
    </row>
    <row r="62" spans="1:8" ht="69" customHeight="1" thickBot="1">
      <c r="A62" s="4510"/>
      <c r="B62" s="4514"/>
      <c r="C62" s="661" t="s">
        <v>418</v>
      </c>
      <c r="D62" s="4516"/>
      <c r="E62" s="600">
        <v>0</v>
      </c>
      <c r="F62" s="600">
        <v>121038</v>
      </c>
      <c r="G62" s="601">
        <v>59439.46</v>
      </c>
      <c r="H62" s="655">
        <f t="shared" si="0"/>
        <v>0.49108098283183793</v>
      </c>
    </row>
    <row r="63" spans="1:8" ht="15.75" hidden="1" thickBot="1">
      <c r="A63" s="535"/>
      <c r="B63" s="662" t="s">
        <v>419</v>
      </c>
      <c r="C63" s="663" t="s">
        <v>420</v>
      </c>
      <c r="D63" s="664"/>
      <c r="E63" s="665">
        <f>E64+E69</f>
        <v>0</v>
      </c>
      <c r="F63" s="665">
        <f>F64+F69</f>
        <v>0</v>
      </c>
      <c r="G63" s="666">
        <f>G64+G69</f>
        <v>0</v>
      </c>
      <c r="H63" s="667" t="e">
        <f t="shared" si="0"/>
        <v>#DIV/0!</v>
      </c>
    </row>
    <row r="64" spans="1:8" ht="15.75" hidden="1" thickBot="1">
      <c r="A64" s="535"/>
      <c r="B64" s="4454" t="s">
        <v>370</v>
      </c>
      <c r="C64" s="4517"/>
      <c r="D64" s="668"/>
      <c r="E64" s="669">
        <f>SUM(E65:E68)</f>
        <v>0</v>
      </c>
      <c r="F64" s="669">
        <f>SUM(F65:F68)</f>
        <v>0</v>
      </c>
      <c r="G64" s="670">
        <f>SUM(G65:G68)</f>
        <v>0</v>
      </c>
      <c r="H64" s="671" t="e">
        <f t="shared" si="0"/>
        <v>#DIV/0!</v>
      </c>
    </row>
    <row r="65" spans="1:8" ht="51.75" hidden="1" thickBot="1">
      <c r="A65" s="535"/>
      <c r="B65" s="672"/>
      <c r="C65" s="673" t="s">
        <v>421</v>
      </c>
      <c r="D65" s="674" t="s">
        <v>392</v>
      </c>
      <c r="E65" s="675">
        <v>0</v>
      </c>
      <c r="F65" s="675">
        <v>0</v>
      </c>
      <c r="G65" s="676">
        <v>0</v>
      </c>
      <c r="H65" s="677" t="e">
        <f t="shared" si="0"/>
        <v>#DIV/0!</v>
      </c>
    </row>
    <row r="66" spans="1:8" ht="51.75" hidden="1" thickBot="1">
      <c r="A66" s="535"/>
      <c r="B66" s="678"/>
      <c r="C66" s="673" t="s">
        <v>422</v>
      </c>
      <c r="D66" s="674">
        <v>2919</v>
      </c>
      <c r="E66" s="675">
        <v>0</v>
      </c>
      <c r="F66" s="675">
        <v>0</v>
      </c>
      <c r="G66" s="676">
        <v>0</v>
      </c>
      <c r="H66" s="677" t="e">
        <f t="shared" si="0"/>
        <v>#DIV/0!</v>
      </c>
    </row>
    <row r="67" spans="1:8" ht="51.75" hidden="1" thickBot="1">
      <c r="A67" s="535"/>
      <c r="B67" s="678"/>
      <c r="C67" s="673" t="s">
        <v>415</v>
      </c>
      <c r="D67" s="674">
        <v>2957</v>
      </c>
      <c r="E67" s="675">
        <v>0</v>
      </c>
      <c r="F67" s="675">
        <v>0</v>
      </c>
      <c r="G67" s="676">
        <v>0</v>
      </c>
      <c r="H67" s="677" t="e">
        <f t="shared" si="0"/>
        <v>#DIV/0!</v>
      </c>
    </row>
    <row r="68" spans="1:8" ht="64.5" hidden="1" thickBot="1">
      <c r="A68" s="535"/>
      <c r="B68" s="679"/>
      <c r="C68" s="680" t="s">
        <v>423</v>
      </c>
      <c r="D68" s="674">
        <v>6660</v>
      </c>
      <c r="E68" s="675">
        <v>0</v>
      </c>
      <c r="F68" s="675">
        <v>0</v>
      </c>
      <c r="G68" s="676">
        <v>0</v>
      </c>
      <c r="H68" s="677" t="e">
        <f t="shared" si="0"/>
        <v>#DIV/0!</v>
      </c>
    </row>
    <row r="69" spans="1:8" ht="15.75" hidden="1" thickBot="1">
      <c r="A69" s="535"/>
      <c r="B69" s="4454" t="s">
        <v>416</v>
      </c>
      <c r="C69" s="4518"/>
      <c r="D69" s="608"/>
      <c r="E69" s="681">
        <f>E70</f>
        <v>0</v>
      </c>
      <c r="F69" s="681">
        <f t="shared" ref="F69:G69" si="12">F70</f>
        <v>0</v>
      </c>
      <c r="G69" s="682">
        <f t="shared" si="12"/>
        <v>0</v>
      </c>
      <c r="H69" s="683" t="e">
        <f t="shared" si="0"/>
        <v>#DIV/0!</v>
      </c>
    </row>
    <row r="70" spans="1:8" ht="15.75" hidden="1" thickBot="1">
      <c r="A70" s="575"/>
      <c r="B70" s="684"/>
      <c r="C70" s="685"/>
      <c r="D70" s="686"/>
      <c r="E70" s="687"/>
      <c r="F70" s="687"/>
      <c r="G70" s="688"/>
      <c r="H70" s="689"/>
    </row>
    <row r="71" spans="1:8" ht="15.75" customHeight="1" thickBot="1">
      <c r="A71" s="690">
        <v>600</v>
      </c>
      <c r="B71" s="691"/>
      <c r="C71" s="692" t="s">
        <v>28</v>
      </c>
      <c r="D71" s="523"/>
      <c r="E71" s="524">
        <f>SUM(E72,E92,E99,E104,E142,E85,E138)</f>
        <v>157254659</v>
      </c>
      <c r="F71" s="524">
        <f>SUM(F72,F92,F99,F104,F142,F85,F138)</f>
        <v>212518735</v>
      </c>
      <c r="G71" s="525">
        <f>SUM(G72,G92,G99,G104,G142,G85,G138)</f>
        <v>179892842.88</v>
      </c>
      <c r="H71" s="526">
        <f t="shared" si="0"/>
        <v>0.84647992507578207</v>
      </c>
    </row>
    <row r="72" spans="1:8" ht="24.75" customHeight="1" thickBot="1">
      <c r="A72" s="693"/>
      <c r="B72" s="694">
        <v>60001</v>
      </c>
      <c r="C72" s="530" t="s">
        <v>82</v>
      </c>
      <c r="D72" s="531"/>
      <c r="E72" s="532">
        <f>SUM(E73,E83)</f>
        <v>64959829</v>
      </c>
      <c r="F72" s="532">
        <f>SUM(F73,F83)</f>
        <v>68224145</v>
      </c>
      <c r="G72" s="533">
        <f>SUM(G73,G83)</f>
        <v>68051979.439999998</v>
      </c>
      <c r="H72" s="534">
        <f t="shared" si="0"/>
        <v>0.99747647170953913</v>
      </c>
    </row>
    <row r="73" spans="1:8">
      <c r="A73" s="695"/>
      <c r="B73" s="4397" t="s">
        <v>370</v>
      </c>
      <c r="C73" s="4413"/>
      <c r="D73" s="696"/>
      <c r="E73" s="561">
        <f>SUM(E74:E82)</f>
        <v>64959829</v>
      </c>
      <c r="F73" s="561">
        <f>SUM(F74:F82)</f>
        <v>68224145</v>
      </c>
      <c r="G73" s="562">
        <f>SUM(G74:G82)</f>
        <v>68051979.439999998</v>
      </c>
      <c r="H73" s="539">
        <f t="shared" si="0"/>
        <v>0.99747647170953913</v>
      </c>
    </row>
    <row r="74" spans="1:8">
      <c r="A74" s="695"/>
      <c r="B74" s="697"/>
      <c r="C74" s="698" t="s">
        <v>424</v>
      </c>
      <c r="D74" s="699" t="s">
        <v>372</v>
      </c>
      <c r="E74" s="557">
        <v>21478029</v>
      </c>
      <c r="F74" s="557">
        <v>21478029</v>
      </c>
      <c r="G74" s="558">
        <v>21478029.280000001</v>
      </c>
      <c r="H74" s="559">
        <f t="shared" si="0"/>
        <v>1.000000013036578</v>
      </c>
    </row>
    <row r="75" spans="1:8" ht="17.25" customHeight="1">
      <c r="A75" s="695"/>
      <c r="B75" s="697"/>
      <c r="C75" s="4503" t="s">
        <v>425</v>
      </c>
      <c r="D75" s="700" t="s">
        <v>374</v>
      </c>
      <c r="E75" s="545">
        <v>0</v>
      </c>
      <c r="F75" s="545">
        <v>35718862</v>
      </c>
      <c r="G75" s="546">
        <v>35718862</v>
      </c>
      <c r="H75" s="547">
        <f t="shared" si="0"/>
        <v>1</v>
      </c>
    </row>
    <row r="76" spans="1:8" ht="17.25" customHeight="1">
      <c r="A76" s="695"/>
      <c r="B76" s="697"/>
      <c r="C76" s="4504"/>
      <c r="D76" s="699" t="s">
        <v>71</v>
      </c>
      <c r="E76" s="557">
        <v>36606800</v>
      </c>
      <c r="F76" s="557">
        <v>0</v>
      </c>
      <c r="G76" s="558">
        <v>0</v>
      </c>
      <c r="H76" s="559"/>
    </row>
    <row r="77" spans="1:8" ht="26.25" customHeight="1">
      <c r="A77" s="695"/>
      <c r="B77" s="697"/>
      <c r="C77" s="701" t="s">
        <v>426</v>
      </c>
      <c r="D77" s="699" t="s">
        <v>380</v>
      </c>
      <c r="E77" s="557">
        <v>0</v>
      </c>
      <c r="F77" s="557">
        <v>0</v>
      </c>
      <c r="G77" s="558">
        <v>58910</v>
      </c>
      <c r="H77" s="559"/>
    </row>
    <row r="78" spans="1:8" ht="41.25" customHeight="1">
      <c r="A78" s="695"/>
      <c r="B78" s="697"/>
      <c r="C78" s="702" t="s">
        <v>427</v>
      </c>
      <c r="D78" s="703" t="s">
        <v>83</v>
      </c>
      <c r="E78" s="566">
        <v>0</v>
      </c>
      <c r="F78" s="566">
        <v>60197</v>
      </c>
      <c r="G78" s="567">
        <v>60196.85</v>
      </c>
      <c r="H78" s="568">
        <f t="shared" si="0"/>
        <v>0.99999750818147082</v>
      </c>
    </row>
    <row r="79" spans="1:8" ht="42" customHeight="1">
      <c r="A79" s="695"/>
      <c r="B79" s="697"/>
      <c r="C79" s="622" t="s">
        <v>428</v>
      </c>
      <c r="D79" s="704" t="s">
        <v>32</v>
      </c>
      <c r="E79" s="590">
        <v>6875000</v>
      </c>
      <c r="F79" s="590">
        <v>6875000</v>
      </c>
      <c r="G79" s="591">
        <v>6875000</v>
      </c>
      <c r="H79" s="592">
        <f t="shared" si="0"/>
        <v>1</v>
      </c>
    </row>
    <row r="80" spans="1:8" ht="43.5" customHeight="1" thickBot="1">
      <c r="A80" s="705"/>
      <c r="B80" s="706"/>
      <c r="C80" s="707" t="s">
        <v>429</v>
      </c>
      <c r="D80" s="708" t="s">
        <v>86</v>
      </c>
      <c r="E80" s="600">
        <v>0</v>
      </c>
      <c r="F80" s="600">
        <v>4091850</v>
      </c>
      <c r="G80" s="601">
        <v>3852450</v>
      </c>
      <c r="H80" s="602">
        <f t="shared" si="0"/>
        <v>0.94149345650500382</v>
      </c>
    </row>
    <row r="81" spans="1:8" ht="42" customHeight="1">
      <c r="A81" s="693"/>
      <c r="B81" s="709"/>
      <c r="C81" s="710" t="s">
        <v>430</v>
      </c>
      <c r="D81" s="711" t="s">
        <v>431</v>
      </c>
      <c r="E81" s="712">
        <v>0</v>
      </c>
      <c r="F81" s="712">
        <v>207</v>
      </c>
      <c r="G81" s="713">
        <v>207</v>
      </c>
      <c r="H81" s="714">
        <f t="shared" si="0"/>
        <v>1</v>
      </c>
    </row>
    <row r="82" spans="1:8" ht="54" customHeight="1">
      <c r="A82" s="695"/>
      <c r="B82" s="697"/>
      <c r="C82" s="622" t="s">
        <v>432</v>
      </c>
      <c r="D82" s="704" t="s">
        <v>431</v>
      </c>
      <c r="E82" s="590">
        <v>0</v>
      </c>
      <c r="F82" s="590">
        <v>0</v>
      </c>
      <c r="G82" s="591">
        <v>8324.31</v>
      </c>
      <c r="H82" s="592"/>
    </row>
    <row r="83" spans="1:8" ht="15.75" thickBot="1">
      <c r="A83" s="695"/>
      <c r="B83" s="4461" t="s">
        <v>375</v>
      </c>
      <c r="C83" s="4464"/>
      <c r="D83" s="715"/>
      <c r="E83" s="551">
        <f>E84</f>
        <v>0</v>
      </c>
      <c r="F83" s="551">
        <f t="shared" ref="F83:G83" si="13">F84</f>
        <v>0</v>
      </c>
      <c r="G83" s="552">
        <f t="shared" si="13"/>
        <v>0</v>
      </c>
      <c r="H83" s="553"/>
    </row>
    <row r="84" spans="1:8" ht="51.75" hidden="1" thickBot="1">
      <c r="A84" s="695"/>
      <c r="B84" s="716"/>
      <c r="C84" s="717" t="s">
        <v>433</v>
      </c>
      <c r="D84" s="718">
        <v>6257</v>
      </c>
      <c r="E84" s="719">
        <v>0</v>
      </c>
      <c r="F84" s="719">
        <v>0</v>
      </c>
      <c r="G84" s="720">
        <v>0</v>
      </c>
      <c r="H84" s="721" t="e">
        <f t="shared" si="0"/>
        <v>#DIV/0!</v>
      </c>
    </row>
    <row r="85" spans="1:8" ht="31.5" customHeight="1" thickBot="1">
      <c r="A85" s="695"/>
      <c r="B85" s="694">
        <v>60002</v>
      </c>
      <c r="C85" s="530" t="s">
        <v>182</v>
      </c>
      <c r="D85" s="531"/>
      <c r="E85" s="605">
        <f>E86+E88</f>
        <v>16474640</v>
      </c>
      <c r="F85" s="605">
        <f>F86+F88</f>
        <v>51948684</v>
      </c>
      <c r="G85" s="606">
        <f>G86+G88</f>
        <v>2995904</v>
      </c>
      <c r="H85" s="607">
        <f t="shared" si="0"/>
        <v>5.7670450323630912E-2</v>
      </c>
    </row>
    <row r="86" spans="1:8">
      <c r="A86" s="695"/>
      <c r="B86" s="4397" t="s">
        <v>370</v>
      </c>
      <c r="C86" s="4413"/>
      <c r="D86" s="696"/>
      <c r="E86" s="561">
        <f>SUM(E87)</f>
        <v>0</v>
      </c>
      <c r="F86" s="561">
        <f t="shared" ref="F86:G86" si="14">SUM(F87)</f>
        <v>729000</v>
      </c>
      <c r="G86" s="562">
        <f t="shared" si="14"/>
        <v>0</v>
      </c>
      <c r="H86" s="722"/>
    </row>
    <row r="87" spans="1:8" ht="42" customHeight="1">
      <c r="A87" s="695"/>
      <c r="B87" s="697"/>
      <c r="C87" s="622" t="s">
        <v>429</v>
      </c>
      <c r="D87" s="704" t="s">
        <v>86</v>
      </c>
      <c r="E87" s="590">
        <v>0</v>
      </c>
      <c r="F87" s="590">
        <v>729000</v>
      </c>
      <c r="G87" s="591">
        <v>0</v>
      </c>
      <c r="H87" s="592">
        <f t="shared" ref="H87" si="15">G87/F87</f>
        <v>0</v>
      </c>
    </row>
    <row r="88" spans="1:8">
      <c r="A88" s="695"/>
      <c r="B88" s="4505" t="s">
        <v>416</v>
      </c>
      <c r="C88" s="4506"/>
      <c r="D88" s="715"/>
      <c r="E88" s="551">
        <f>SUM(E89:E91)</f>
        <v>16474640</v>
      </c>
      <c r="F88" s="551">
        <f t="shared" ref="F88:G88" si="16">SUM(F89:F91)</f>
        <v>51219684</v>
      </c>
      <c r="G88" s="552">
        <f t="shared" si="16"/>
        <v>2995904</v>
      </c>
      <c r="H88" s="723">
        <f t="shared" si="0"/>
        <v>5.8491262851211652E-2</v>
      </c>
    </row>
    <row r="89" spans="1:8" ht="63.75">
      <c r="A89" s="695"/>
      <c r="B89" s="4507"/>
      <c r="C89" s="609" t="s">
        <v>434</v>
      </c>
      <c r="D89" s="724">
        <v>6207</v>
      </c>
      <c r="E89" s="590">
        <v>0</v>
      </c>
      <c r="F89" s="590">
        <v>45305669</v>
      </c>
      <c r="G89" s="591">
        <v>2546180.02</v>
      </c>
      <c r="H89" s="547">
        <f t="shared" si="0"/>
        <v>5.6200031391215079E-2</v>
      </c>
    </row>
    <row r="90" spans="1:8" ht="51">
      <c r="A90" s="695"/>
      <c r="B90" s="4472"/>
      <c r="C90" s="725" t="s">
        <v>435</v>
      </c>
      <c r="D90" s="726">
        <v>6257</v>
      </c>
      <c r="E90" s="545">
        <v>16474640</v>
      </c>
      <c r="F90" s="545">
        <v>2304775</v>
      </c>
      <c r="G90" s="546">
        <v>75091.62</v>
      </c>
      <c r="H90" s="547">
        <f t="shared" si="0"/>
        <v>3.2580889674697092E-2</v>
      </c>
    </row>
    <row r="91" spans="1:8" ht="42" customHeight="1" thickBot="1">
      <c r="A91" s="695"/>
      <c r="B91" s="706"/>
      <c r="C91" s="727" t="s">
        <v>436</v>
      </c>
      <c r="D91" s="728" t="s">
        <v>88</v>
      </c>
      <c r="E91" s="566">
        <v>0</v>
      </c>
      <c r="F91" s="566">
        <v>3609240</v>
      </c>
      <c r="G91" s="567">
        <v>374632.36</v>
      </c>
      <c r="H91" s="568">
        <f t="shared" si="0"/>
        <v>0.10379812924604626</v>
      </c>
    </row>
    <row r="92" spans="1:8" ht="33" customHeight="1" thickBot="1">
      <c r="A92" s="695"/>
      <c r="B92" s="694">
        <v>60003</v>
      </c>
      <c r="C92" s="531" t="s">
        <v>267</v>
      </c>
      <c r="D92" s="531"/>
      <c r="E92" s="532">
        <f>SUM(E93,E98)</f>
        <v>52750000</v>
      </c>
      <c r="F92" s="532">
        <f>SUM(F93,F98)</f>
        <v>38755878</v>
      </c>
      <c r="G92" s="533">
        <f>SUM(G93,G98)</f>
        <v>34669561.380000003</v>
      </c>
      <c r="H92" s="534">
        <f t="shared" si="0"/>
        <v>0.89456266169482734</v>
      </c>
    </row>
    <row r="93" spans="1:8" ht="18" customHeight="1">
      <c r="A93" s="695"/>
      <c r="B93" s="4397" t="s">
        <v>370</v>
      </c>
      <c r="C93" s="4413"/>
      <c r="D93" s="560"/>
      <c r="E93" s="561">
        <f>SUM(E94:E97)</f>
        <v>52750000</v>
      </c>
      <c r="F93" s="561">
        <f>SUM(F94:F97)</f>
        <v>38755878</v>
      </c>
      <c r="G93" s="562">
        <f t="shared" ref="G93" si="17">SUM(G94:G97)</f>
        <v>34669561.380000003</v>
      </c>
      <c r="H93" s="539">
        <f t="shared" si="0"/>
        <v>0.89456266169482734</v>
      </c>
    </row>
    <row r="94" spans="1:8" ht="51.75" thickBot="1">
      <c r="A94" s="705"/>
      <c r="B94" s="729"/>
      <c r="C94" s="730" t="s">
        <v>437</v>
      </c>
      <c r="D94" s="731" t="s">
        <v>392</v>
      </c>
      <c r="E94" s="732">
        <v>0</v>
      </c>
      <c r="F94" s="732">
        <v>9652</v>
      </c>
      <c r="G94" s="733">
        <v>9651.6200000000008</v>
      </c>
      <c r="H94" s="734"/>
    </row>
    <row r="95" spans="1:8" ht="38.25">
      <c r="A95" s="693"/>
      <c r="B95" s="735"/>
      <c r="C95" s="736" t="s">
        <v>394</v>
      </c>
      <c r="D95" s="737">
        <v>2210</v>
      </c>
      <c r="E95" s="738">
        <v>52750000</v>
      </c>
      <c r="F95" s="738">
        <v>38422660</v>
      </c>
      <c r="G95" s="739">
        <v>34332761.539999999</v>
      </c>
      <c r="H95" s="740">
        <f t="shared" si="0"/>
        <v>0.89355504121786467</v>
      </c>
    </row>
    <row r="96" spans="1:8" ht="40.5" customHeight="1">
      <c r="A96" s="695"/>
      <c r="B96" s="741"/>
      <c r="C96" s="582" t="s">
        <v>438</v>
      </c>
      <c r="D96" s="583" t="s">
        <v>201</v>
      </c>
      <c r="E96" s="545">
        <v>0</v>
      </c>
      <c r="F96" s="545">
        <v>323566</v>
      </c>
      <c r="G96" s="546">
        <v>325565.84000000003</v>
      </c>
      <c r="H96" s="559">
        <f t="shared" si="0"/>
        <v>1.0061806246639018</v>
      </c>
    </row>
    <row r="97" spans="1:8" ht="54" customHeight="1">
      <c r="A97" s="695"/>
      <c r="B97" s="742"/>
      <c r="C97" s="582" t="s">
        <v>439</v>
      </c>
      <c r="D97" s="583" t="s">
        <v>431</v>
      </c>
      <c r="E97" s="545">
        <v>0</v>
      </c>
      <c r="F97" s="545">
        <v>0</v>
      </c>
      <c r="G97" s="546">
        <v>1582.38</v>
      </c>
      <c r="H97" s="547"/>
    </row>
    <row r="98" spans="1:8" ht="15.75" thickBot="1">
      <c r="A98" s="4497"/>
      <c r="B98" s="4384" t="s">
        <v>375</v>
      </c>
      <c r="C98" s="4499"/>
      <c r="D98" s="623"/>
      <c r="E98" s="577">
        <v>0</v>
      </c>
      <c r="F98" s="577">
        <v>0</v>
      </c>
      <c r="G98" s="578">
        <v>0</v>
      </c>
      <c r="H98" s="579"/>
    </row>
    <row r="99" spans="1:8" ht="15.75" thickBot="1">
      <c r="A99" s="4497"/>
      <c r="B99" s="694">
        <v>60004</v>
      </c>
      <c r="C99" s="530" t="s">
        <v>186</v>
      </c>
      <c r="D99" s="531"/>
      <c r="E99" s="605">
        <f>SUM(E100,E103)</f>
        <v>100000</v>
      </c>
      <c r="F99" s="605">
        <f t="shared" ref="F99:G99" si="18">SUM(F100,F103)</f>
        <v>100000</v>
      </c>
      <c r="G99" s="606">
        <f t="shared" si="18"/>
        <v>23246.47</v>
      </c>
      <c r="H99" s="534">
        <f t="shared" si="0"/>
        <v>0.23246470000000002</v>
      </c>
    </row>
    <row r="100" spans="1:8">
      <c r="A100" s="695"/>
      <c r="B100" s="4500" t="s">
        <v>370</v>
      </c>
      <c r="C100" s="4501"/>
      <c r="D100" s="743"/>
      <c r="E100" s="537">
        <f>SUM(E101:E102)</f>
        <v>100000</v>
      </c>
      <c r="F100" s="537">
        <f t="shared" ref="F100:G100" si="19">SUM(F101:F102)</f>
        <v>100000</v>
      </c>
      <c r="G100" s="538">
        <f t="shared" si="19"/>
        <v>23246.47</v>
      </c>
      <c r="H100" s="744">
        <f t="shared" ref="H100:H101" si="20">G100/F100</f>
        <v>0.23246470000000002</v>
      </c>
    </row>
    <row r="101" spans="1:8" ht="15" customHeight="1">
      <c r="A101" s="695"/>
      <c r="B101" s="4399"/>
      <c r="C101" s="745" t="s">
        <v>440</v>
      </c>
      <c r="D101" s="746" t="s">
        <v>441</v>
      </c>
      <c r="E101" s="545">
        <v>100000</v>
      </c>
      <c r="F101" s="545">
        <v>100000</v>
      </c>
      <c r="G101" s="546">
        <v>21836</v>
      </c>
      <c r="H101" s="747">
        <f t="shared" si="20"/>
        <v>0.21836</v>
      </c>
    </row>
    <row r="102" spans="1:8" ht="38.25">
      <c r="A102" s="695"/>
      <c r="B102" s="4401"/>
      <c r="C102" s="748" t="s">
        <v>407</v>
      </c>
      <c r="D102" s="749" t="s">
        <v>44</v>
      </c>
      <c r="E102" s="545">
        <v>0</v>
      </c>
      <c r="F102" s="545">
        <v>0</v>
      </c>
      <c r="G102" s="546">
        <v>1410.47</v>
      </c>
      <c r="H102" s="747"/>
    </row>
    <row r="103" spans="1:8" ht="15.75" thickBot="1">
      <c r="A103" s="695"/>
      <c r="B103" s="4502" t="s">
        <v>375</v>
      </c>
      <c r="C103" s="4385"/>
      <c r="D103" s="576"/>
      <c r="E103" s="750">
        <v>0</v>
      </c>
      <c r="F103" s="750">
        <v>0</v>
      </c>
      <c r="G103" s="751">
        <f t="shared" ref="G103" si="21">E103+F103</f>
        <v>0</v>
      </c>
      <c r="H103" s="752"/>
    </row>
    <row r="104" spans="1:8" ht="15.75" thickBot="1">
      <c r="A104" s="753"/>
      <c r="B104" s="754">
        <v>60013</v>
      </c>
      <c r="C104" s="755" t="s">
        <v>85</v>
      </c>
      <c r="D104" s="756"/>
      <c r="E104" s="757">
        <f>SUM(E105,E120)</f>
        <v>22680999</v>
      </c>
      <c r="F104" s="757">
        <f>SUM(F105,F120)</f>
        <v>53236761</v>
      </c>
      <c r="G104" s="758">
        <f>SUM(G105,G120)</f>
        <v>73900053.600000009</v>
      </c>
      <c r="H104" s="759">
        <f t="shared" ref="H104:H182" si="22">G104/F104</f>
        <v>1.3881395526673761</v>
      </c>
    </row>
    <row r="105" spans="1:8">
      <c r="A105" s="753"/>
      <c r="B105" s="4409" t="s">
        <v>370</v>
      </c>
      <c r="C105" s="4495"/>
      <c r="D105" s="760"/>
      <c r="E105" s="761">
        <f>SUM(E106:E119)</f>
        <v>1109000</v>
      </c>
      <c r="F105" s="761">
        <f>SUM(F106:F119)</f>
        <v>3083238</v>
      </c>
      <c r="G105" s="762">
        <f>SUM(G106:G119)</f>
        <v>4206034.54</v>
      </c>
      <c r="H105" s="763">
        <f t="shared" si="22"/>
        <v>1.3641614886687308</v>
      </c>
    </row>
    <row r="106" spans="1:8">
      <c r="A106" s="753"/>
      <c r="B106" s="764"/>
      <c r="C106" s="4422" t="s">
        <v>442</v>
      </c>
      <c r="D106" s="765" t="s">
        <v>60</v>
      </c>
      <c r="E106" s="766">
        <v>0</v>
      </c>
      <c r="F106" s="766">
        <v>0</v>
      </c>
      <c r="G106" s="767">
        <v>82170.570000000007</v>
      </c>
      <c r="H106" s="768"/>
    </row>
    <row r="107" spans="1:8">
      <c r="A107" s="753"/>
      <c r="B107" s="764"/>
      <c r="C107" s="4423"/>
      <c r="D107" s="769" t="s">
        <v>179</v>
      </c>
      <c r="E107" s="770">
        <v>0</v>
      </c>
      <c r="F107" s="770">
        <v>0</v>
      </c>
      <c r="G107" s="771">
        <v>44880</v>
      </c>
      <c r="H107" s="768"/>
    </row>
    <row r="108" spans="1:8">
      <c r="A108" s="753"/>
      <c r="B108" s="764"/>
      <c r="C108" s="4423"/>
      <c r="D108" s="765" t="s">
        <v>441</v>
      </c>
      <c r="E108" s="772">
        <v>1100000</v>
      </c>
      <c r="F108" s="772">
        <v>1100000</v>
      </c>
      <c r="G108" s="773">
        <v>1431325.93</v>
      </c>
      <c r="H108" s="768">
        <f t="shared" si="22"/>
        <v>1.3012053909090908</v>
      </c>
    </row>
    <row r="109" spans="1:8" ht="14.25" customHeight="1">
      <c r="A109" s="753"/>
      <c r="B109" s="764"/>
      <c r="C109" s="4423"/>
      <c r="D109" s="774" t="s">
        <v>390</v>
      </c>
      <c r="E109" s="772">
        <v>0</v>
      </c>
      <c r="F109" s="772">
        <v>0</v>
      </c>
      <c r="G109" s="773">
        <v>8361.26</v>
      </c>
      <c r="H109" s="768"/>
    </row>
    <row r="110" spans="1:8">
      <c r="A110" s="753"/>
      <c r="B110" s="764"/>
      <c r="C110" s="4423"/>
      <c r="D110" s="774" t="s">
        <v>180</v>
      </c>
      <c r="E110" s="772">
        <v>0</v>
      </c>
      <c r="F110" s="772">
        <v>0</v>
      </c>
      <c r="G110" s="773">
        <v>46.4</v>
      </c>
      <c r="H110" s="768"/>
    </row>
    <row r="111" spans="1:8">
      <c r="A111" s="753"/>
      <c r="B111" s="764"/>
      <c r="C111" s="4423"/>
      <c r="D111" s="774" t="s">
        <v>372</v>
      </c>
      <c r="E111" s="772">
        <v>0</v>
      </c>
      <c r="F111" s="772">
        <v>0</v>
      </c>
      <c r="G111" s="773">
        <v>386.9</v>
      </c>
      <c r="H111" s="768"/>
    </row>
    <row r="112" spans="1:8">
      <c r="A112" s="753"/>
      <c r="B112" s="764"/>
      <c r="C112" s="4423"/>
      <c r="D112" s="774" t="s">
        <v>373</v>
      </c>
      <c r="E112" s="772">
        <v>0</v>
      </c>
      <c r="F112" s="772">
        <v>0</v>
      </c>
      <c r="G112" s="773">
        <v>8364.64</v>
      </c>
      <c r="H112" s="768"/>
    </row>
    <row r="113" spans="1:8">
      <c r="A113" s="753"/>
      <c r="B113" s="764"/>
      <c r="C113" s="4423"/>
      <c r="D113" s="774" t="s">
        <v>386</v>
      </c>
      <c r="E113" s="772">
        <v>0</v>
      </c>
      <c r="F113" s="772">
        <v>0</v>
      </c>
      <c r="G113" s="773">
        <v>89282.02</v>
      </c>
      <c r="H113" s="768"/>
    </row>
    <row r="114" spans="1:8">
      <c r="A114" s="753"/>
      <c r="B114" s="764"/>
      <c r="C114" s="4423"/>
      <c r="D114" s="774" t="s">
        <v>374</v>
      </c>
      <c r="E114" s="772">
        <v>0</v>
      </c>
      <c r="F114" s="772">
        <v>0</v>
      </c>
      <c r="G114" s="773">
        <v>41987.21</v>
      </c>
      <c r="H114" s="768"/>
    </row>
    <row r="115" spans="1:8">
      <c r="A115" s="695"/>
      <c r="B115" s="775"/>
      <c r="C115" s="4423"/>
      <c r="D115" s="776" t="s">
        <v>380</v>
      </c>
      <c r="E115" s="545">
        <v>0</v>
      </c>
      <c r="F115" s="545">
        <v>0</v>
      </c>
      <c r="G115" s="546">
        <v>510463.56</v>
      </c>
      <c r="H115" s="547"/>
    </row>
    <row r="116" spans="1:8">
      <c r="A116" s="695"/>
      <c r="B116" s="775"/>
      <c r="C116" s="4424"/>
      <c r="D116" s="544" t="s">
        <v>71</v>
      </c>
      <c r="E116" s="545">
        <v>9000</v>
      </c>
      <c r="F116" s="545">
        <v>9000</v>
      </c>
      <c r="G116" s="546">
        <v>14752.56</v>
      </c>
      <c r="H116" s="547">
        <f t="shared" si="22"/>
        <v>1.6391733333333334</v>
      </c>
    </row>
    <row r="117" spans="1:8" ht="25.5" hidden="1" customHeight="1">
      <c r="A117" s="695"/>
      <c r="B117" s="775"/>
      <c r="C117" s="777" t="s">
        <v>443</v>
      </c>
      <c r="D117" s="540" t="s">
        <v>444</v>
      </c>
      <c r="E117" s="545">
        <v>0</v>
      </c>
      <c r="F117" s="545">
        <v>0</v>
      </c>
      <c r="G117" s="546">
        <v>0</v>
      </c>
      <c r="H117" s="547" t="e">
        <f t="shared" si="22"/>
        <v>#DIV/0!</v>
      </c>
    </row>
    <row r="118" spans="1:8" ht="26.25" thickBot="1">
      <c r="A118" s="778"/>
      <c r="B118" s="779"/>
      <c r="C118" s="780" t="s">
        <v>445</v>
      </c>
      <c r="D118" s="781" t="s">
        <v>446</v>
      </c>
      <c r="E118" s="782">
        <v>0</v>
      </c>
      <c r="F118" s="782">
        <v>200000</v>
      </c>
      <c r="G118" s="783">
        <v>200000</v>
      </c>
      <c r="H118" s="784">
        <f t="shared" si="22"/>
        <v>1</v>
      </c>
    </row>
    <row r="119" spans="1:8" ht="38.25">
      <c r="A119" s="4496"/>
      <c r="B119" s="785"/>
      <c r="C119" s="786" t="s">
        <v>447</v>
      </c>
      <c r="D119" s="787" t="s">
        <v>86</v>
      </c>
      <c r="E119" s="788">
        <v>0</v>
      </c>
      <c r="F119" s="788">
        <v>1774238</v>
      </c>
      <c r="G119" s="789">
        <v>1774013.49</v>
      </c>
      <c r="H119" s="790">
        <f t="shared" si="22"/>
        <v>0.9998734611703729</v>
      </c>
    </row>
    <row r="120" spans="1:8" ht="12" customHeight="1">
      <c r="A120" s="4497"/>
      <c r="B120" s="4498" t="s">
        <v>416</v>
      </c>
      <c r="C120" s="4430"/>
      <c r="D120" s="791"/>
      <c r="E120" s="792">
        <f>SUM(E121:E137)</f>
        <v>21571999</v>
      </c>
      <c r="F120" s="792">
        <f>SUM(F121:F137)</f>
        <v>50153523</v>
      </c>
      <c r="G120" s="793">
        <f>SUM(G121:G137)</f>
        <v>69694019.060000002</v>
      </c>
      <c r="H120" s="794">
        <f t="shared" si="22"/>
        <v>1.3896136281393434</v>
      </c>
    </row>
    <row r="121" spans="1:8" ht="25.5">
      <c r="A121" s="795"/>
      <c r="B121" s="796"/>
      <c r="C121" s="797" t="s">
        <v>442</v>
      </c>
      <c r="D121" s="798" t="s">
        <v>376</v>
      </c>
      <c r="E121" s="770">
        <v>0</v>
      </c>
      <c r="F121" s="770">
        <v>0</v>
      </c>
      <c r="G121" s="771">
        <v>155178.01999999999</v>
      </c>
      <c r="H121" s="768"/>
    </row>
    <row r="122" spans="1:8" ht="25.5">
      <c r="A122" s="795"/>
      <c r="B122" s="799"/>
      <c r="C122" s="800" t="s">
        <v>448</v>
      </c>
      <c r="D122" s="801" t="s">
        <v>213</v>
      </c>
      <c r="E122" s="770">
        <v>0</v>
      </c>
      <c r="F122" s="770">
        <v>0</v>
      </c>
      <c r="G122" s="771">
        <v>25000000</v>
      </c>
      <c r="H122" s="802"/>
    </row>
    <row r="123" spans="1:8" ht="63" customHeight="1">
      <c r="A123" s="4489"/>
      <c r="B123" s="4492"/>
      <c r="C123" s="803" t="s">
        <v>449</v>
      </c>
      <c r="D123" s="4483" t="s">
        <v>450</v>
      </c>
      <c r="E123" s="804">
        <v>500000</v>
      </c>
      <c r="F123" s="804">
        <v>9499130</v>
      </c>
      <c r="G123" s="805">
        <v>6722972.6500000004</v>
      </c>
      <c r="H123" s="806">
        <f t="shared" si="22"/>
        <v>0.70774614622602283</v>
      </c>
    </row>
    <row r="124" spans="1:8" ht="64.5" customHeight="1">
      <c r="A124" s="4489"/>
      <c r="B124" s="4492"/>
      <c r="C124" s="807" t="s">
        <v>451</v>
      </c>
      <c r="D124" s="4484"/>
      <c r="E124" s="770">
        <v>5984408</v>
      </c>
      <c r="F124" s="770">
        <v>8549155</v>
      </c>
      <c r="G124" s="773">
        <v>765228.45</v>
      </c>
      <c r="H124" s="768">
        <f t="shared" si="22"/>
        <v>8.9509249744565395E-2</v>
      </c>
    </row>
    <row r="125" spans="1:8" ht="63" customHeight="1">
      <c r="A125" s="808"/>
      <c r="B125" s="809"/>
      <c r="C125" s="807" t="s">
        <v>452</v>
      </c>
      <c r="D125" s="4485"/>
      <c r="E125" s="810">
        <v>0</v>
      </c>
      <c r="F125" s="770">
        <v>579774</v>
      </c>
      <c r="G125" s="773">
        <v>189864.08</v>
      </c>
      <c r="H125" s="768">
        <f t="shared" si="22"/>
        <v>0.32747946613680501</v>
      </c>
    </row>
    <row r="126" spans="1:8" ht="76.5">
      <c r="A126" s="811"/>
      <c r="B126" s="799"/>
      <c r="C126" s="812" t="s">
        <v>453</v>
      </c>
      <c r="D126" s="4486">
        <v>6258</v>
      </c>
      <c r="E126" s="813">
        <v>0</v>
      </c>
      <c r="F126" s="772">
        <v>0</v>
      </c>
      <c r="G126" s="773">
        <v>305654.36</v>
      </c>
      <c r="H126" s="768"/>
    </row>
    <row r="127" spans="1:8" ht="66.75" customHeight="1" thickBot="1">
      <c r="A127" s="814"/>
      <c r="B127" s="815"/>
      <c r="C127" s="816" t="s">
        <v>454</v>
      </c>
      <c r="D127" s="4487"/>
      <c r="E127" s="817">
        <v>0</v>
      </c>
      <c r="F127" s="818">
        <v>78696</v>
      </c>
      <c r="G127" s="819">
        <v>0</v>
      </c>
      <c r="H127" s="820">
        <f t="shared" si="22"/>
        <v>0</v>
      </c>
    </row>
    <row r="128" spans="1:8" ht="74.25" customHeight="1">
      <c r="A128" s="811"/>
      <c r="B128" s="799"/>
      <c r="C128" s="821" t="s">
        <v>455</v>
      </c>
      <c r="D128" s="4488">
        <v>6258</v>
      </c>
      <c r="E128" s="822">
        <v>0</v>
      </c>
      <c r="F128" s="822">
        <v>0</v>
      </c>
      <c r="G128" s="823">
        <v>5922087.54</v>
      </c>
      <c r="H128" s="802"/>
    </row>
    <row r="129" spans="1:8" ht="75" customHeight="1">
      <c r="A129" s="811"/>
      <c r="B129" s="799"/>
      <c r="C129" s="824" t="s">
        <v>456</v>
      </c>
      <c r="D129" s="4489"/>
      <c r="E129" s="825">
        <v>0</v>
      </c>
      <c r="F129" s="822">
        <v>0</v>
      </c>
      <c r="G129" s="823">
        <v>9210933.6899999995</v>
      </c>
      <c r="H129" s="802"/>
    </row>
    <row r="130" spans="1:8" ht="60.75" customHeight="1">
      <c r="A130" s="811"/>
      <c r="B130" s="799"/>
      <c r="C130" s="826" t="s">
        <v>457</v>
      </c>
      <c r="D130" s="4489"/>
      <c r="E130" s="825">
        <v>0</v>
      </c>
      <c r="F130" s="822">
        <v>1240409</v>
      </c>
      <c r="G130" s="823">
        <v>0</v>
      </c>
      <c r="H130" s="768">
        <f t="shared" si="22"/>
        <v>0</v>
      </c>
    </row>
    <row r="131" spans="1:8" ht="59.25" customHeight="1">
      <c r="A131" s="811"/>
      <c r="B131" s="799"/>
      <c r="C131" s="826" t="s">
        <v>458</v>
      </c>
      <c r="D131" s="4489"/>
      <c r="E131" s="813">
        <v>7647575</v>
      </c>
      <c r="F131" s="772">
        <v>9062330</v>
      </c>
      <c r="G131" s="773">
        <v>0</v>
      </c>
      <c r="H131" s="768">
        <f t="shared" si="22"/>
        <v>0</v>
      </c>
    </row>
    <row r="132" spans="1:8" ht="63.75" hidden="1" customHeight="1">
      <c r="A132" s="4489"/>
      <c r="B132" s="4492"/>
      <c r="C132" s="827" t="s">
        <v>459</v>
      </c>
      <c r="D132" s="4490"/>
      <c r="E132" s="813">
        <v>0</v>
      </c>
      <c r="F132" s="772">
        <v>0</v>
      </c>
      <c r="G132" s="773">
        <v>0</v>
      </c>
      <c r="H132" s="768" t="e">
        <f t="shared" si="22"/>
        <v>#DIV/0!</v>
      </c>
    </row>
    <row r="133" spans="1:8" ht="73.5" customHeight="1">
      <c r="A133" s="4489"/>
      <c r="B133" s="4492"/>
      <c r="C133" s="827" t="s">
        <v>460</v>
      </c>
      <c r="D133" s="4491"/>
      <c r="E133" s="825">
        <v>0</v>
      </c>
      <c r="F133" s="822">
        <v>0</v>
      </c>
      <c r="G133" s="823">
        <v>3400570.85</v>
      </c>
      <c r="H133" s="802"/>
    </row>
    <row r="134" spans="1:8" ht="25.5">
      <c r="A134" s="4489"/>
      <c r="B134" s="4492"/>
      <c r="C134" s="828" t="s">
        <v>461</v>
      </c>
      <c r="D134" s="829">
        <v>6290</v>
      </c>
      <c r="E134" s="822">
        <v>0</v>
      </c>
      <c r="F134" s="830">
        <v>100000</v>
      </c>
      <c r="G134" s="823">
        <v>100000</v>
      </c>
      <c r="H134" s="802">
        <f t="shared" si="22"/>
        <v>1</v>
      </c>
    </row>
    <row r="135" spans="1:8" ht="38.25" customHeight="1">
      <c r="A135" s="811"/>
      <c r="B135" s="4492"/>
      <c r="C135" s="831" t="s">
        <v>436</v>
      </c>
      <c r="D135" s="832">
        <v>6300</v>
      </c>
      <c r="E135" s="772">
        <v>1823804</v>
      </c>
      <c r="F135" s="770">
        <v>15425003</v>
      </c>
      <c r="G135" s="773">
        <v>14364912.140000001</v>
      </c>
      <c r="H135" s="768">
        <f t="shared" si="22"/>
        <v>0.93127451190771249</v>
      </c>
    </row>
    <row r="136" spans="1:8" ht="38.25">
      <c r="A136" s="811"/>
      <c r="B136" s="4492"/>
      <c r="C136" s="831" t="s">
        <v>462</v>
      </c>
      <c r="D136" s="833">
        <v>6350</v>
      </c>
      <c r="E136" s="772">
        <v>1871000</v>
      </c>
      <c r="F136" s="772">
        <v>1871000</v>
      </c>
      <c r="G136" s="773">
        <v>570990</v>
      </c>
      <c r="H136" s="768">
        <f t="shared" si="22"/>
        <v>0.30517904863709244</v>
      </c>
    </row>
    <row r="137" spans="1:8" ht="39" customHeight="1" thickBot="1">
      <c r="A137" s="814"/>
      <c r="B137" s="815"/>
      <c r="C137" s="834" t="s">
        <v>463</v>
      </c>
      <c r="D137" s="835">
        <v>6530</v>
      </c>
      <c r="E137" s="782">
        <v>3745212</v>
      </c>
      <c r="F137" s="782">
        <v>3748026</v>
      </c>
      <c r="G137" s="783">
        <v>2985627.28</v>
      </c>
      <c r="H137" s="784">
        <f t="shared" si="22"/>
        <v>0.79658659785177577</v>
      </c>
    </row>
    <row r="138" spans="1:8" ht="45.75" hidden="1" customHeight="1" thickBot="1">
      <c r="A138" s="836"/>
      <c r="B138" s="837">
        <v>60078</v>
      </c>
      <c r="C138" s="838"/>
      <c r="D138" s="839"/>
      <c r="E138" s="840">
        <f>SUM(E139,E141)</f>
        <v>0</v>
      </c>
      <c r="F138" s="840">
        <f t="shared" ref="F138:G138" si="23">SUM(F139,F141)</f>
        <v>0</v>
      </c>
      <c r="G138" s="841">
        <f t="shared" si="23"/>
        <v>0</v>
      </c>
      <c r="H138" s="842" t="e">
        <f t="shared" si="22"/>
        <v>#DIV/0!</v>
      </c>
    </row>
    <row r="139" spans="1:8" ht="42.75" hidden="1" customHeight="1">
      <c r="A139" s="836"/>
      <c r="B139" s="4493" t="s">
        <v>370</v>
      </c>
      <c r="C139" s="4494"/>
      <c r="D139" s="843"/>
      <c r="E139" s="844">
        <f>SUM(E140:E140)</f>
        <v>0</v>
      </c>
      <c r="F139" s="844">
        <f t="shared" ref="F139:G139" si="24">SUM(F140:F140)</f>
        <v>0</v>
      </c>
      <c r="G139" s="845">
        <f t="shared" si="24"/>
        <v>0</v>
      </c>
      <c r="H139" s="846" t="e">
        <f t="shared" si="22"/>
        <v>#DIV/0!</v>
      </c>
    </row>
    <row r="140" spans="1:8" ht="51.75" hidden="1" thickBot="1">
      <c r="A140" s="836"/>
      <c r="B140" s="847"/>
      <c r="C140" s="848" t="s">
        <v>436</v>
      </c>
      <c r="D140" s="849" t="s">
        <v>86</v>
      </c>
      <c r="E140" s="850">
        <v>0</v>
      </c>
      <c r="F140" s="850">
        <v>0</v>
      </c>
      <c r="G140" s="851">
        <v>0</v>
      </c>
      <c r="H140" s="548" t="e">
        <f t="shared" si="22"/>
        <v>#DIV/0!</v>
      </c>
    </row>
    <row r="141" spans="1:8" ht="15.75" hidden="1" thickBot="1">
      <c r="A141" s="836"/>
      <c r="B141" s="4477" t="s">
        <v>375</v>
      </c>
      <c r="C141" s="4478"/>
      <c r="D141" s="852"/>
      <c r="E141" s="853">
        <v>0</v>
      </c>
      <c r="F141" s="853">
        <v>0</v>
      </c>
      <c r="G141" s="854">
        <v>0</v>
      </c>
      <c r="H141" s="855"/>
    </row>
    <row r="142" spans="1:8" ht="25.5" customHeight="1" thickBot="1">
      <c r="A142" s="836"/>
      <c r="B142" s="856">
        <v>60095</v>
      </c>
      <c r="C142" s="857" t="s">
        <v>95</v>
      </c>
      <c r="D142" s="858"/>
      <c r="E142" s="605">
        <f>SUM(E143,E147)</f>
        <v>289191</v>
      </c>
      <c r="F142" s="605">
        <f t="shared" ref="F142:G142" si="25">SUM(F143,F147)</f>
        <v>253267</v>
      </c>
      <c r="G142" s="606">
        <f t="shared" si="25"/>
        <v>252097.99</v>
      </c>
      <c r="H142" s="607">
        <f t="shared" si="22"/>
        <v>0.99538427825180542</v>
      </c>
    </row>
    <row r="143" spans="1:8">
      <c r="A143" s="836"/>
      <c r="B143" s="4479" t="s">
        <v>370</v>
      </c>
      <c r="C143" s="4480"/>
      <c r="D143" s="859"/>
      <c r="E143" s="860">
        <f>SUM(E144:E146)</f>
        <v>289191</v>
      </c>
      <c r="F143" s="860">
        <f t="shared" ref="F143" si="26">SUM(F144:F146)</f>
        <v>253267</v>
      </c>
      <c r="G143" s="861">
        <f>SUM(G144:G146)</f>
        <v>252097.99</v>
      </c>
      <c r="H143" s="862">
        <f t="shared" si="22"/>
        <v>0.99538427825180542</v>
      </c>
    </row>
    <row r="144" spans="1:8" ht="66.75" customHeight="1">
      <c r="A144" s="836"/>
      <c r="B144" s="649"/>
      <c r="C144" s="609" t="s">
        <v>464</v>
      </c>
      <c r="D144" s="583" t="s">
        <v>18</v>
      </c>
      <c r="E144" s="545">
        <v>770</v>
      </c>
      <c r="F144" s="545">
        <v>770</v>
      </c>
      <c r="G144" s="546">
        <v>1980</v>
      </c>
      <c r="H144" s="547">
        <f>G144/F144</f>
        <v>2.5714285714285716</v>
      </c>
    </row>
    <row r="145" spans="1:8" ht="42" customHeight="1">
      <c r="A145" s="4419"/>
      <c r="B145" s="4400"/>
      <c r="C145" s="609" t="s">
        <v>394</v>
      </c>
      <c r="D145" s="650">
        <v>2210</v>
      </c>
      <c r="E145" s="545">
        <v>280000</v>
      </c>
      <c r="F145" s="545">
        <v>244076</v>
      </c>
      <c r="G145" s="546">
        <v>244075.49</v>
      </c>
      <c r="H145" s="547">
        <f>G145/F145</f>
        <v>0.99999791048689746</v>
      </c>
    </row>
    <row r="146" spans="1:8" ht="39.75" customHeight="1">
      <c r="A146" s="4419"/>
      <c r="B146" s="4401"/>
      <c r="C146" s="863" t="s">
        <v>407</v>
      </c>
      <c r="D146" s="657">
        <v>2360</v>
      </c>
      <c r="E146" s="557">
        <v>8421</v>
      </c>
      <c r="F146" s="557">
        <v>8421</v>
      </c>
      <c r="G146" s="558">
        <v>6042.5</v>
      </c>
      <c r="H146" s="559">
        <f t="shared" si="22"/>
        <v>0.71755135969599815</v>
      </c>
    </row>
    <row r="147" spans="1:8" ht="15.75" thickBot="1">
      <c r="A147" s="864"/>
      <c r="B147" s="4384" t="s">
        <v>375</v>
      </c>
      <c r="C147" s="4451"/>
      <c r="D147" s="865"/>
      <c r="E147" s="577">
        <v>0</v>
      </c>
      <c r="F147" s="577">
        <v>0</v>
      </c>
      <c r="G147" s="578">
        <v>0</v>
      </c>
      <c r="H147" s="579"/>
    </row>
    <row r="148" spans="1:8" ht="24.75" customHeight="1" thickBot="1">
      <c r="A148" s="866">
        <v>630</v>
      </c>
      <c r="B148" s="867"/>
      <c r="C148" s="868" t="s">
        <v>131</v>
      </c>
      <c r="D148" s="869"/>
      <c r="E148" s="524">
        <f t="shared" ref="E148:G148" si="27">E149+E156</f>
        <v>222572</v>
      </c>
      <c r="F148" s="524">
        <f t="shared" si="27"/>
        <v>222572</v>
      </c>
      <c r="G148" s="525">
        <f t="shared" si="27"/>
        <v>98019.29</v>
      </c>
      <c r="H148" s="526">
        <f t="shared" si="22"/>
        <v>0.44039362543356753</v>
      </c>
    </row>
    <row r="149" spans="1:8" ht="22.5" customHeight="1" thickBot="1">
      <c r="A149" s="870"/>
      <c r="B149" s="856">
        <v>63003</v>
      </c>
      <c r="C149" s="857" t="s">
        <v>465</v>
      </c>
      <c r="D149" s="858"/>
      <c r="E149" s="605">
        <f t="shared" ref="E149:G149" si="28">E150+E155</f>
        <v>172572</v>
      </c>
      <c r="F149" s="605">
        <f t="shared" si="28"/>
        <v>172572</v>
      </c>
      <c r="G149" s="606">
        <f t="shared" si="28"/>
        <v>47813.45</v>
      </c>
      <c r="H149" s="607">
        <f t="shared" si="22"/>
        <v>0.27706377627888645</v>
      </c>
    </row>
    <row r="150" spans="1:8" ht="15.75" thickBot="1">
      <c r="A150" s="836"/>
      <c r="B150" s="4481" t="s">
        <v>370</v>
      </c>
      <c r="C150" s="4482"/>
      <c r="D150" s="871"/>
      <c r="E150" s="872">
        <f>SUM(E151:E154)</f>
        <v>172572</v>
      </c>
      <c r="F150" s="872">
        <f>SUM(F151:F154)</f>
        <v>172572</v>
      </c>
      <c r="G150" s="873">
        <f>SUM(G151:G154)</f>
        <v>47813.45</v>
      </c>
      <c r="H150" s="874">
        <f t="shared" si="22"/>
        <v>0.27706377627888645</v>
      </c>
    </row>
    <row r="151" spans="1:8" ht="41.25" hidden="1" customHeight="1">
      <c r="A151" s="836"/>
      <c r="B151" s="4471"/>
      <c r="C151" s="725" t="s">
        <v>466</v>
      </c>
      <c r="D151" s="875" t="s">
        <v>392</v>
      </c>
      <c r="E151" s="876">
        <v>0</v>
      </c>
      <c r="F151" s="877">
        <v>0</v>
      </c>
      <c r="G151" s="878">
        <v>0</v>
      </c>
      <c r="H151" s="879"/>
    </row>
    <row r="152" spans="1:8" ht="43.5" hidden="1" customHeight="1">
      <c r="A152" s="836"/>
      <c r="B152" s="4472"/>
      <c r="C152" s="880" t="s">
        <v>379</v>
      </c>
      <c r="D152" s="565" t="s">
        <v>380</v>
      </c>
      <c r="E152" s="881">
        <v>0</v>
      </c>
      <c r="F152" s="850">
        <v>0</v>
      </c>
      <c r="G152" s="882">
        <v>0</v>
      </c>
      <c r="H152" s="548"/>
    </row>
    <row r="153" spans="1:8" ht="76.5">
      <c r="A153" s="836"/>
      <c r="B153" s="4472"/>
      <c r="C153" s="609" t="s">
        <v>467</v>
      </c>
      <c r="D153" s="650">
        <v>2058</v>
      </c>
      <c r="E153" s="557">
        <v>172572</v>
      </c>
      <c r="F153" s="557">
        <v>172572</v>
      </c>
      <c r="G153" s="558">
        <v>47594.45</v>
      </c>
      <c r="H153" s="559">
        <f>G153/F153</f>
        <v>0.27579474074589155</v>
      </c>
    </row>
    <row r="154" spans="1:8" ht="51">
      <c r="A154" s="836"/>
      <c r="B154" s="4473"/>
      <c r="C154" s="883" t="s">
        <v>468</v>
      </c>
      <c r="D154" s="884" t="s">
        <v>392</v>
      </c>
      <c r="E154" s="557">
        <v>0</v>
      </c>
      <c r="F154" s="557">
        <v>0</v>
      </c>
      <c r="G154" s="558">
        <v>219</v>
      </c>
      <c r="H154" s="559"/>
    </row>
    <row r="155" spans="1:8" ht="15.75" thickBot="1">
      <c r="A155" s="864"/>
      <c r="B155" s="4384" t="s">
        <v>375</v>
      </c>
      <c r="C155" s="4474"/>
      <c r="D155" s="885"/>
      <c r="E155" s="577">
        <v>0</v>
      </c>
      <c r="F155" s="577">
        <v>0</v>
      </c>
      <c r="G155" s="578">
        <v>0</v>
      </c>
      <c r="H155" s="579"/>
    </row>
    <row r="156" spans="1:8" ht="21" customHeight="1" thickBot="1">
      <c r="A156" s="836"/>
      <c r="B156" s="886">
        <v>63095</v>
      </c>
      <c r="C156" s="887" t="s">
        <v>95</v>
      </c>
      <c r="D156" s="888"/>
      <c r="E156" s="889">
        <f>E157+E160</f>
        <v>50000</v>
      </c>
      <c r="F156" s="889">
        <f>F157+F160</f>
        <v>50000</v>
      </c>
      <c r="G156" s="890">
        <f>G157+G160</f>
        <v>50205.84</v>
      </c>
      <c r="H156" s="891">
        <f t="shared" si="22"/>
        <v>1.0041168</v>
      </c>
    </row>
    <row r="157" spans="1:8" ht="15" customHeight="1">
      <c r="A157" s="836"/>
      <c r="B157" s="4397" t="s">
        <v>370</v>
      </c>
      <c r="C157" s="4475"/>
      <c r="D157" s="892"/>
      <c r="E157" s="893">
        <f>E158+E159</f>
        <v>50000</v>
      </c>
      <c r="F157" s="893">
        <f>F158+F159</f>
        <v>50000</v>
      </c>
      <c r="G157" s="894">
        <f>G158+G159</f>
        <v>50205.84</v>
      </c>
      <c r="H157" s="895">
        <f t="shared" si="22"/>
        <v>1.0041168</v>
      </c>
    </row>
    <row r="158" spans="1:8" ht="38.25">
      <c r="A158" s="836"/>
      <c r="B158" s="4400"/>
      <c r="C158" s="896" t="s">
        <v>394</v>
      </c>
      <c r="D158" s="657">
        <v>2210</v>
      </c>
      <c r="E158" s="557">
        <v>50000</v>
      </c>
      <c r="F158" s="557">
        <v>50000</v>
      </c>
      <c r="G158" s="558">
        <v>50000</v>
      </c>
      <c r="H158" s="559">
        <f>G158/F158</f>
        <v>1</v>
      </c>
    </row>
    <row r="159" spans="1:8" ht="38.25">
      <c r="A159" s="836"/>
      <c r="B159" s="4401"/>
      <c r="C159" s="897" t="s">
        <v>469</v>
      </c>
      <c r="D159" s="650">
        <v>2950</v>
      </c>
      <c r="E159" s="545">
        <v>0</v>
      </c>
      <c r="F159" s="545">
        <v>0</v>
      </c>
      <c r="G159" s="546">
        <v>205.84</v>
      </c>
      <c r="H159" s="559"/>
    </row>
    <row r="160" spans="1:8" ht="15.75" customHeight="1" thickBot="1">
      <c r="A160" s="864"/>
      <c r="B160" s="4476" t="s">
        <v>375</v>
      </c>
      <c r="C160" s="4385"/>
      <c r="D160" s="885"/>
      <c r="E160" s="577">
        <v>0</v>
      </c>
      <c r="F160" s="577">
        <v>0</v>
      </c>
      <c r="G160" s="578">
        <v>0</v>
      </c>
      <c r="H160" s="579"/>
    </row>
    <row r="161" spans="1:8" ht="17.25" customHeight="1" thickBot="1">
      <c r="A161" s="866">
        <v>700</v>
      </c>
      <c r="B161" s="691"/>
      <c r="C161" s="692" t="s">
        <v>135</v>
      </c>
      <c r="D161" s="692"/>
      <c r="E161" s="524">
        <f t="shared" ref="E161:G161" si="29">SUM(E162)</f>
        <v>3430800</v>
      </c>
      <c r="F161" s="524">
        <f t="shared" si="29"/>
        <v>3430800</v>
      </c>
      <c r="G161" s="525">
        <f t="shared" si="29"/>
        <v>4415017.1000000006</v>
      </c>
      <c r="H161" s="526">
        <f t="shared" si="22"/>
        <v>1.2868768508802613</v>
      </c>
    </row>
    <row r="162" spans="1:8" ht="15.75" thickBot="1">
      <c r="A162" s="4469"/>
      <c r="B162" s="694">
        <v>70005</v>
      </c>
      <c r="C162" s="530" t="s">
        <v>137</v>
      </c>
      <c r="D162" s="531"/>
      <c r="E162" s="605">
        <f>SUM(E163,E173)</f>
        <v>3430800</v>
      </c>
      <c r="F162" s="605">
        <f>SUM(F163,F173)</f>
        <v>3430800</v>
      </c>
      <c r="G162" s="606">
        <f>SUM(G163,G173)</f>
        <v>4415017.1000000006</v>
      </c>
      <c r="H162" s="607">
        <f t="shared" si="22"/>
        <v>1.2868768508802613</v>
      </c>
    </row>
    <row r="163" spans="1:8" ht="15.75" customHeight="1">
      <c r="A163" s="4463"/>
      <c r="B163" s="4387" t="s">
        <v>370</v>
      </c>
      <c r="C163" s="4433"/>
      <c r="D163" s="900"/>
      <c r="E163" s="646">
        <f>SUM(E164:E172)</f>
        <v>429000</v>
      </c>
      <c r="F163" s="646">
        <f>SUM(F164:F172)</f>
        <v>429000</v>
      </c>
      <c r="G163" s="647">
        <f>SUM(G164:G172)</f>
        <v>573115.3600000001</v>
      </c>
      <c r="H163" s="901">
        <f>G163/F163</f>
        <v>1.3359332400932404</v>
      </c>
    </row>
    <row r="164" spans="1:8">
      <c r="A164" s="4463"/>
      <c r="B164" s="902"/>
      <c r="C164" s="903" t="s">
        <v>470</v>
      </c>
      <c r="D164" s="583" t="s">
        <v>471</v>
      </c>
      <c r="E164" s="590">
        <v>330000</v>
      </c>
      <c r="F164" s="590">
        <v>330000</v>
      </c>
      <c r="G164" s="591">
        <v>321414.2</v>
      </c>
      <c r="H164" s="592">
        <f t="shared" si="22"/>
        <v>0.97398242424242432</v>
      </c>
    </row>
    <row r="165" spans="1:8" s="905" customFormat="1" ht="15" customHeight="1">
      <c r="A165" s="4463"/>
      <c r="B165" s="899"/>
      <c r="C165" s="904" t="s">
        <v>472</v>
      </c>
      <c r="D165" s="544" t="s">
        <v>473</v>
      </c>
      <c r="E165" s="545">
        <v>24000</v>
      </c>
      <c r="F165" s="545">
        <v>24000</v>
      </c>
      <c r="G165" s="546">
        <v>19664.400000000001</v>
      </c>
      <c r="H165" s="547">
        <f t="shared" si="22"/>
        <v>0.81935000000000002</v>
      </c>
    </row>
    <row r="166" spans="1:8" s="905" customFormat="1" ht="25.5" customHeight="1">
      <c r="A166" s="4463"/>
      <c r="B166" s="899"/>
      <c r="C166" s="906" t="s">
        <v>474</v>
      </c>
      <c r="D166" s="907" t="s">
        <v>390</v>
      </c>
      <c r="E166" s="545">
        <v>0</v>
      </c>
      <c r="F166" s="545">
        <v>0</v>
      </c>
      <c r="G166" s="546">
        <v>1072.2</v>
      </c>
      <c r="H166" s="547"/>
    </row>
    <row r="167" spans="1:8" s="905" customFormat="1">
      <c r="A167" s="4463"/>
      <c r="B167" s="899"/>
      <c r="C167" s="903" t="s">
        <v>475</v>
      </c>
      <c r="D167" s="583" t="s">
        <v>372</v>
      </c>
      <c r="E167" s="545">
        <v>45000</v>
      </c>
      <c r="F167" s="545">
        <v>45000</v>
      </c>
      <c r="G167" s="546">
        <v>50871.18</v>
      </c>
      <c r="H167" s="547">
        <f t="shared" si="22"/>
        <v>1.1304706666666666</v>
      </c>
    </row>
    <row r="168" spans="1:8">
      <c r="A168" s="4463"/>
      <c r="B168" s="4463"/>
      <c r="C168" s="908" t="s">
        <v>476</v>
      </c>
      <c r="D168" s="583" t="s">
        <v>373</v>
      </c>
      <c r="E168" s="545">
        <v>30000</v>
      </c>
      <c r="F168" s="545">
        <v>30000</v>
      </c>
      <c r="G168" s="546">
        <v>8650.7099999999991</v>
      </c>
      <c r="H168" s="547">
        <f t="shared" si="22"/>
        <v>0.28835699999999997</v>
      </c>
    </row>
    <row r="169" spans="1:8" ht="25.5">
      <c r="A169" s="4463"/>
      <c r="B169" s="4463"/>
      <c r="C169" s="909" t="s">
        <v>477</v>
      </c>
      <c r="D169" s="544" t="s">
        <v>386</v>
      </c>
      <c r="E169" s="557">
        <v>0</v>
      </c>
      <c r="F169" s="557">
        <v>0</v>
      </c>
      <c r="G169" s="558">
        <v>1286.6199999999999</v>
      </c>
      <c r="H169" s="547"/>
    </row>
    <row r="170" spans="1:8">
      <c r="A170" s="4463"/>
      <c r="B170" s="910"/>
      <c r="C170" s="911" t="s">
        <v>478</v>
      </c>
      <c r="D170" s="544" t="s">
        <v>374</v>
      </c>
      <c r="E170" s="545">
        <v>0</v>
      </c>
      <c r="F170" s="545">
        <v>0</v>
      </c>
      <c r="G170" s="546">
        <v>156.05000000000001</v>
      </c>
      <c r="H170" s="547"/>
    </row>
    <row r="171" spans="1:8" ht="25.5">
      <c r="A171" s="4463"/>
      <c r="B171" s="910"/>
      <c r="C171" s="912" t="s">
        <v>479</v>
      </c>
      <c r="D171" s="4246" t="s">
        <v>71</v>
      </c>
      <c r="E171" s="545">
        <v>0</v>
      </c>
      <c r="F171" s="545">
        <v>0</v>
      </c>
      <c r="G171" s="546">
        <v>170000</v>
      </c>
      <c r="H171" s="548"/>
    </row>
    <row r="172" spans="1:8" ht="17.25" hidden="1" customHeight="1">
      <c r="A172" s="4463"/>
      <c r="B172" s="899"/>
      <c r="C172" s="912"/>
      <c r="D172" s="4247"/>
      <c r="E172" s="545">
        <v>0</v>
      </c>
      <c r="F172" s="545">
        <v>0</v>
      </c>
      <c r="G172" s="546">
        <v>0</v>
      </c>
      <c r="H172" s="548"/>
    </row>
    <row r="173" spans="1:8">
      <c r="A173" s="4463"/>
      <c r="B173" s="4464" t="s">
        <v>416</v>
      </c>
      <c r="C173" s="4465"/>
      <c r="D173" s="4248"/>
      <c r="E173" s="551">
        <f>SUM(E174:E178)</f>
        <v>3001800</v>
      </c>
      <c r="F173" s="551">
        <f>SUM(F174:F178)</f>
        <v>3001800</v>
      </c>
      <c r="G173" s="552">
        <f>SUM(G174:G178)</f>
        <v>3841901.74</v>
      </c>
      <c r="H173" s="553">
        <f t="shared" si="22"/>
        <v>1.2798659937370911</v>
      </c>
    </row>
    <row r="174" spans="1:8" ht="25.5">
      <c r="A174" s="4463"/>
      <c r="B174" s="4467"/>
      <c r="C174" s="573" t="s">
        <v>480</v>
      </c>
      <c r="D174" s="913" t="s">
        <v>481</v>
      </c>
      <c r="E174" s="545">
        <v>1800</v>
      </c>
      <c r="F174" s="545">
        <v>1800</v>
      </c>
      <c r="G174" s="546">
        <v>1572.99</v>
      </c>
      <c r="H174" s="547">
        <f t="shared" si="22"/>
        <v>0.87388333333333335</v>
      </c>
    </row>
    <row r="175" spans="1:8" ht="18.75" customHeight="1">
      <c r="A175" s="4463"/>
      <c r="B175" s="4425"/>
      <c r="C175" s="609" t="s">
        <v>482</v>
      </c>
      <c r="D175" s="540" t="s">
        <v>483</v>
      </c>
      <c r="E175" s="590">
        <v>3000000</v>
      </c>
      <c r="F175" s="545">
        <v>3000000</v>
      </c>
      <c r="G175" s="546">
        <v>3143567</v>
      </c>
      <c r="H175" s="547">
        <f t="shared" si="22"/>
        <v>1.0478556666666667</v>
      </c>
    </row>
    <row r="176" spans="1:8" ht="27" customHeight="1">
      <c r="A176" s="4463"/>
      <c r="B176" s="4425"/>
      <c r="C176" s="883" t="s">
        <v>484</v>
      </c>
      <c r="D176" s="4431" t="s">
        <v>485</v>
      </c>
      <c r="E176" s="590">
        <v>0</v>
      </c>
      <c r="F176" s="590">
        <v>0</v>
      </c>
      <c r="G176" s="591">
        <v>438266.38</v>
      </c>
      <c r="H176" s="592"/>
    </row>
    <row r="177" spans="1:8" ht="38.25">
      <c r="A177" s="4463"/>
      <c r="B177" s="4425"/>
      <c r="C177" s="4242" t="s">
        <v>486</v>
      </c>
      <c r="D177" s="4466"/>
      <c r="E177" s="4243">
        <v>0</v>
      </c>
      <c r="F177" s="4243">
        <v>0</v>
      </c>
      <c r="G177" s="4244">
        <v>255641.71</v>
      </c>
      <c r="H177" s="4245"/>
    </row>
    <row r="178" spans="1:8" ht="15.75" thickBot="1">
      <c r="A178" s="4470"/>
      <c r="B178" s="4468"/>
      <c r="C178" s="914" t="s">
        <v>1246</v>
      </c>
      <c r="D178" s="599" t="s">
        <v>376</v>
      </c>
      <c r="E178" s="600">
        <v>0</v>
      </c>
      <c r="F178" s="600">
        <v>0</v>
      </c>
      <c r="G178" s="601">
        <v>2853.66</v>
      </c>
      <c r="H178" s="602"/>
    </row>
    <row r="179" spans="1:8" ht="15.75" thickBot="1">
      <c r="A179" s="866">
        <v>710</v>
      </c>
      <c r="B179" s="915"/>
      <c r="C179" s="868" t="s">
        <v>191</v>
      </c>
      <c r="D179" s="869"/>
      <c r="E179" s="625">
        <f>SUM(E180,E188,E192,E201)</f>
        <v>435466</v>
      </c>
      <c r="F179" s="625">
        <f>SUM(F180,F188,F192,F201)</f>
        <v>465104</v>
      </c>
      <c r="G179" s="626">
        <f>SUM(G180,G188,G192,G201)</f>
        <v>487401.58000000007</v>
      </c>
      <c r="H179" s="627">
        <f t="shared" si="22"/>
        <v>1.047941062644054</v>
      </c>
    </row>
    <row r="180" spans="1:8" ht="15.75" thickBot="1">
      <c r="A180" s="870"/>
      <c r="B180" s="916">
        <v>71003</v>
      </c>
      <c r="C180" s="917" t="s">
        <v>487</v>
      </c>
      <c r="D180" s="531"/>
      <c r="E180" s="532">
        <f>SUM(E181,E186)</f>
        <v>40000</v>
      </c>
      <c r="F180" s="532">
        <f>SUM(F181,F186)</f>
        <v>40000</v>
      </c>
      <c r="G180" s="533">
        <f>SUM(G181,G186)</f>
        <v>58564.340000000004</v>
      </c>
      <c r="H180" s="534">
        <f t="shared" si="22"/>
        <v>1.4641085</v>
      </c>
    </row>
    <row r="181" spans="1:8">
      <c r="A181" s="836"/>
      <c r="B181" s="4456" t="s">
        <v>370</v>
      </c>
      <c r="C181" s="4447"/>
      <c r="D181" s="900"/>
      <c r="E181" s="537">
        <f>SUM(E182:E185)</f>
        <v>40000</v>
      </c>
      <c r="F181" s="537">
        <f>SUM(F182:F185)</f>
        <v>40000</v>
      </c>
      <c r="G181" s="538">
        <f>SUM(G182:G185)</f>
        <v>58318.11</v>
      </c>
      <c r="H181" s="744">
        <f t="shared" si="22"/>
        <v>1.45795275</v>
      </c>
    </row>
    <row r="182" spans="1:8">
      <c r="A182" s="836"/>
      <c r="B182" s="4457"/>
      <c r="C182" s="4459" t="s">
        <v>488</v>
      </c>
      <c r="D182" s="544" t="s">
        <v>372</v>
      </c>
      <c r="E182" s="545">
        <v>3000</v>
      </c>
      <c r="F182" s="545">
        <v>3000</v>
      </c>
      <c r="G182" s="546">
        <v>3139.88</v>
      </c>
      <c r="H182" s="547">
        <f t="shared" si="22"/>
        <v>1.0466266666666666</v>
      </c>
    </row>
    <row r="183" spans="1:8">
      <c r="A183" s="836"/>
      <c r="B183" s="4458"/>
      <c r="C183" s="4460"/>
      <c r="D183" s="540" t="s">
        <v>373</v>
      </c>
      <c r="E183" s="545">
        <v>36400</v>
      </c>
      <c r="F183" s="545">
        <v>36400</v>
      </c>
      <c r="G183" s="546">
        <v>49680.73</v>
      </c>
      <c r="H183" s="547">
        <f t="shared" ref="H183:H214" si="30">G183/F183</f>
        <v>1.36485521978022</v>
      </c>
    </row>
    <row r="184" spans="1:8">
      <c r="A184" s="836"/>
      <c r="B184" s="4458"/>
      <c r="C184" s="4460"/>
      <c r="D184" s="583" t="s">
        <v>374</v>
      </c>
      <c r="E184" s="545">
        <v>0</v>
      </c>
      <c r="F184" s="545">
        <v>0</v>
      </c>
      <c r="G184" s="546">
        <v>3074.55</v>
      </c>
      <c r="H184" s="547"/>
    </row>
    <row r="185" spans="1:8">
      <c r="A185" s="836"/>
      <c r="B185" s="4458"/>
      <c r="C185" s="4460"/>
      <c r="D185" s="583" t="s">
        <v>71</v>
      </c>
      <c r="E185" s="545">
        <v>600</v>
      </c>
      <c r="F185" s="545">
        <v>600</v>
      </c>
      <c r="G185" s="546">
        <v>2422.9499999999998</v>
      </c>
      <c r="H185" s="547">
        <f t="shared" ref="H185" si="31">G185/F185</f>
        <v>4.0382499999999997</v>
      </c>
    </row>
    <row r="186" spans="1:8" ht="15.75" customHeight="1">
      <c r="A186" s="836"/>
      <c r="B186" s="4461" t="s">
        <v>416</v>
      </c>
      <c r="C186" s="4462"/>
      <c r="D186" s="634"/>
      <c r="E186" s="594">
        <f>SUM(E187)</f>
        <v>0</v>
      </c>
      <c r="F186" s="594">
        <f>SUM(F187)</f>
        <v>0</v>
      </c>
      <c r="G186" s="595">
        <f>SUM(G187)</f>
        <v>246.23</v>
      </c>
      <c r="H186" s="918"/>
    </row>
    <row r="187" spans="1:8" ht="30" customHeight="1" thickBot="1">
      <c r="A187" s="836"/>
      <c r="B187" s="919"/>
      <c r="C187" s="920" t="s">
        <v>488</v>
      </c>
      <c r="D187" s="599" t="s">
        <v>376</v>
      </c>
      <c r="E187" s="600">
        <v>0</v>
      </c>
      <c r="F187" s="600">
        <v>0</v>
      </c>
      <c r="G187" s="601">
        <v>246.23</v>
      </c>
      <c r="H187" s="602"/>
    </row>
    <row r="188" spans="1:8" ht="15.75" customHeight="1" thickBot="1">
      <c r="A188" s="836"/>
      <c r="B188" s="921">
        <v>71005</v>
      </c>
      <c r="C188" s="922" t="s">
        <v>489</v>
      </c>
      <c r="D188" s="531"/>
      <c r="E188" s="605">
        <f t="shared" ref="E188:G188" si="32">SUM(E191,E189)</f>
        <v>316</v>
      </c>
      <c r="F188" s="605">
        <f t="shared" si="32"/>
        <v>316</v>
      </c>
      <c r="G188" s="606">
        <f t="shared" si="32"/>
        <v>285</v>
      </c>
      <c r="H188" s="607">
        <f t="shared" si="30"/>
        <v>0.90189873417721522</v>
      </c>
    </row>
    <row r="189" spans="1:8" ht="15" customHeight="1">
      <c r="A189" s="836"/>
      <c r="B189" s="4387" t="s">
        <v>370</v>
      </c>
      <c r="C189" s="4433"/>
      <c r="D189" s="900"/>
      <c r="E189" s="537">
        <f t="shared" ref="E189:G189" si="33">SUM(E190)</f>
        <v>316</v>
      </c>
      <c r="F189" s="537">
        <f t="shared" si="33"/>
        <v>316</v>
      </c>
      <c r="G189" s="538">
        <f t="shared" si="33"/>
        <v>285</v>
      </c>
      <c r="H189" s="744">
        <f t="shared" si="30"/>
        <v>0.90189873417721522</v>
      </c>
    </row>
    <row r="190" spans="1:8" ht="42.75" customHeight="1">
      <c r="A190" s="836"/>
      <c r="B190" s="923"/>
      <c r="C190" s="582" t="s">
        <v>407</v>
      </c>
      <c r="D190" s="924">
        <v>2360</v>
      </c>
      <c r="E190" s="545">
        <v>316</v>
      </c>
      <c r="F190" s="545">
        <v>316</v>
      </c>
      <c r="G190" s="546">
        <v>285</v>
      </c>
      <c r="H190" s="547">
        <f t="shared" si="30"/>
        <v>0.90189873417721522</v>
      </c>
    </row>
    <row r="191" spans="1:8" ht="15.75" thickBot="1">
      <c r="A191" s="836"/>
      <c r="B191" s="4384" t="s">
        <v>375</v>
      </c>
      <c r="C191" s="4385"/>
      <c r="D191" s="576"/>
      <c r="E191" s="577">
        <v>0</v>
      </c>
      <c r="F191" s="577">
        <v>0</v>
      </c>
      <c r="G191" s="578">
        <v>0</v>
      </c>
      <c r="H191" s="579"/>
    </row>
    <row r="192" spans="1:8" ht="16.5" customHeight="1" thickBot="1">
      <c r="A192" s="836"/>
      <c r="B192" s="925">
        <v>71012</v>
      </c>
      <c r="C192" s="917" t="s">
        <v>490</v>
      </c>
      <c r="D192" s="926"/>
      <c r="E192" s="532">
        <f>SUM(E193,E200)</f>
        <v>395150</v>
      </c>
      <c r="F192" s="532">
        <f>SUM(F193,F200)</f>
        <v>424788</v>
      </c>
      <c r="G192" s="533">
        <f>SUM(G193,G200)</f>
        <v>428552.24000000005</v>
      </c>
      <c r="H192" s="534">
        <f t="shared" si="30"/>
        <v>1.0088614555966742</v>
      </c>
    </row>
    <row r="193" spans="1:8" ht="15.75" customHeight="1">
      <c r="A193" s="836"/>
      <c r="B193" s="4446" t="s">
        <v>370</v>
      </c>
      <c r="C193" s="4447"/>
      <c r="D193" s="927"/>
      <c r="E193" s="537">
        <f>SUM(E194:E199)</f>
        <v>395150</v>
      </c>
      <c r="F193" s="537">
        <f>SUM(F194:F199)</f>
        <v>424788</v>
      </c>
      <c r="G193" s="538">
        <f>SUM(G194:G199)</f>
        <v>428552.24000000005</v>
      </c>
      <c r="H193" s="744">
        <f t="shared" si="30"/>
        <v>1.0088614555966742</v>
      </c>
    </row>
    <row r="194" spans="1:8" ht="15.75" customHeight="1">
      <c r="A194" s="836"/>
      <c r="B194" s="928"/>
      <c r="C194" s="4448" t="s">
        <v>491</v>
      </c>
      <c r="D194" s="540" t="s">
        <v>18</v>
      </c>
      <c r="E194" s="545">
        <v>9000</v>
      </c>
      <c r="F194" s="545">
        <v>9000</v>
      </c>
      <c r="G194" s="546">
        <v>12664.4</v>
      </c>
      <c r="H194" s="547">
        <f t="shared" si="30"/>
        <v>1.4071555555555555</v>
      </c>
    </row>
    <row r="195" spans="1:8" ht="15.75" customHeight="1">
      <c r="A195" s="836"/>
      <c r="B195" s="929"/>
      <c r="C195" s="4449"/>
      <c r="D195" s="544" t="s">
        <v>374</v>
      </c>
      <c r="E195" s="545">
        <v>0</v>
      </c>
      <c r="F195" s="545">
        <v>0</v>
      </c>
      <c r="G195" s="546">
        <v>120.44</v>
      </c>
      <c r="H195" s="547"/>
    </row>
    <row r="196" spans="1:8">
      <c r="A196" s="836"/>
      <c r="B196" s="929"/>
      <c r="C196" s="4450"/>
      <c r="D196" s="544" t="s">
        <v>71</v>
      </c>
      <c r="E196" s="545">
        <v>150</v>
      </c>
      <c r="F196" s="545">
        <v>150</v>
      </c>
      <c r="G196" s="546">
        <v>130</v>
      </c>
      <c r="H196" s="547">
        <f t="shared" si="30"/>
        <v>0.8666666666666667</v>
      </c>
    </row>
    <row r="197" spans="1:8" ht="77.25" customHeight="1">
      <c r="A197" s="836"/>
      <c r="B197" s="929"/>
      <c r="C197" s="702" t="s">
        <v>492</v>
      </c>
      <c r="D197" s="544" t="s">
        <v>493</v>
      </c>
      <c r="E197" s="545">
        <v>0</v>
      </c>
      <c r="F197" s="545">
        <v>852</v>
      </c>
      <c r="G197" s="546">
        <v>852</v>
      </c>
      <c r="H197" s="547">
        <f t="shared" si="30"/>
        <v>1</v>
      </c>
    </row>
    <row r="198" spans="1:8" s="933" customFormat="1" ht="40.5" customHeight="1" thickBot="1">
      <c r="A198" s="864"/>
      <c r="B198" s="930"/>
      <c r="C198" s="931" t="s">
        <v>394</v>
      </c>
      <c r="D198" s="932" t="s">
        <v>266</v>
      </c>
      <c r="E198" s="600">
        <v>386000</v>
      </c>
      <c r="F198" s="600">
        <v>386000</v>
      </c>
      <c r="G198" s="601">
        <v>386000</v>
      </c>
      <c r="H198" s="602">
        <f t="shared" si="30"/>
        <v>1</v>
      </c>
    </row>
    <row r="199" spans="1:8" ht="76.5">
      <c r="A199" s="836"/>
      <c r="B199" s="934"/>
      <c r="C199" s="935" t="s">
        <v>494</v>
      </c>
      <c r="D199" s="544" t="s">
        <v>495</v>
      </c>
      <c r="E199" s="557">
        <v>0</v>
      </c>
      <c r="F199" s="557">
        <v>28786</v>
      </c>
      <c r="G199" s="558">
        <v>28785.4</v>
      </c>
      <c r="H199" s="559">
        <f t="shared" si="30"/>
        <v>0.99997915653442648</v>
      </c>
    </row>
    <row r="200" spans="1:8" ht="15.75" thickBot="1">
      <c r="A200" s="864"/>
      <c r="B200" s="4384" t="s">
        <v>375</v>
      </c>
      <c r="C200" s="4451"/>
      <c r="D200" s="936"/>
      <c r="E200" s="577">
        <v>0</v>
      </c>
      <c r="F200" s="577">
        <v>0</v>
      </c>
      <c r="G200" s="578">
        <v>0</v>
      </c>
      <c r="H200" s="579"/>
    </row>
    <row r="201" spans="1:8" ht="15.75" hidden="1" thickBot="1">
      <c r="A201" s="836"/>
      <c r="B201" s="937">
        <v>71095</v>
      </c>
      <c r="C201" s="938" t="s">
        <v>95</v>
      </c>
      <c r="D201" s="939"/>
      <c r="E201" s="840">
        <f t="shared" ref="E201" si="34">SUM(E202,E204)</f>
        <v>0</v>
      </c>
      <c r="F201" s="840"/>
      <c r="G201" s="841">
        <f t="shared" ref="G201:G231" si="35">E201+F201</f>
        <v>0</v>
      </c>
      <c r="H201" s="842" t="e">
        <f t="shared" si="30"/>
        <v>#DIV/0!</v>
      </c>
    </row>
    <row r="202" spans="1:8" ht="54" hidden="1" customHeight="1">
      <c r="A202" s="836"/>
      <c r="B202" s="4452" t="s">
        <v>370</v>
      </c>
      <c r="C202" s="4453"/>
      <c r="D202" s="927"/>
      <c r="E202" s="940">
        <f t="shared" ref="E202" si="36">SUM(E203)</f>
        <v>0</v>
      </c>
      <c r="F202" s="940"/>
      <c r="G202" s="941">
        <f t="shared" si="35"/>
        <v>0</v>
      </c>
      <c r="H202" s="942" t="e">
        <f t="shared" si="30"/>
        <v>#DIV/0!</v>
      </c>
    </row>
    <row r="203" spans="1:8" ht="57" hidden="1" customHeight="1">
      <c r="A203" s="836"/>
      <c r="B203" s="943"/>
      <c r="C203" s="944" t="s">
        <v>394</v>
      </c>
      <c r="D203" s="945">
        <v>2210</v>
      </c>
      <c r="E203" s="850">
        <v>0</v>
      </c>
      <c r="F203" s="850"/>
      <c r="G203" s="851">
        <f t="shared" si="35"/>
        <v>0</v>
      </c>
      <c r="H203" s="548" t="e">
        <f t="shared" si="30"/>
        <v>#DIV/0!</v>
      </c>
    </row>
    <row r="204" spans="1:8" ht="16.5" hidden="1" customHeight="1" thickBot="1">
      <c r="A204" s="836"/>
      <c r="B204" s="4454" t="s">
        <v>375</v>
      </c>
      <c r="C204" s="4455"/>
      <c r="D204" s="946"/>
      <c r="E204" s="947">
        <v>0</v>
      </c>
      <c r="F204" s="947"/>
      <c r="G204" s="948">
        <f t="shared" si="35"/>
        <v>0</v>
      </c>
      <c r="H204" s="918" t="e">
        <f t="shared" si="30"/>
        <v>#DIV/0!</v>
      </c>
    </row>
    <row r="205" spans="1:8" ht="15.75" thickBot="1">
      <c r="A205" s="690">
        <v>720</v>
      </c>
      <c r="B205" s="692"/>
      <c r="C205" s="949" t="s">
        <v>140</v>
      </c>
      <c r="D205" s="950"/>
      <c r="E205" s="625">
        <f t="shared" ref="E205:G205" si="37">SUM(E206)</f>
        <v>5535000</v>
      </c>
      <c r="F205" s="625">
        <f t="shared" si="37"/>
        <v>5535000</v>
      </c>
      <c r="G205" s="626">
        <f t="shared" si="37"/>
        <v>5614739.4199999999</v>
      </c>
      <c r="H205" s="951">
        <f t="shared" si="30"/>
        <v>1.014406399277326</v>
      </c>
    </row>
    <row r="206" spans="1:8" ht="15.75" thickBot="1">
      <c r="A206" s="870"/>
      <c r="B206" s="694">
        <v>72095</v>
      </c>
      <c r="C206" s="530" t="s">
        <v>95</v>
      </c>
      <c r="D206" s="531"/>
      <c r="E206" s="532">
        <f>SUM(E207,E215)</f>
        <v>5535000</v>
      </c>
      <c r="F206" s="532">
        <f>SUM(F207,F215)</f>
        <v>5535000</v>
      </c>
      <c r="G206" s="533">
        <f>SUM(G207,G215)</f>
        <v>5614739.4199999999</v>
      </c>
      <c r="H206" s="952">
        <f t="shared" si="30"/>
        <v>1.014406399277326</v>
      </c>
    </row>
    <row r="207" spans="1:8" s="905" customFormat="1">
      <c r="A207" s="836"/>
      <c r="B207" s="4397" t="s">
        <v>370</v>
      </c>
      <c r="C207" s="4413"/>
      <c r="D207" s="560"/>
      <c r="E207" s="561">
        <f>SUM(E208:E214)</f>
        <v>5535000</v>
      </c>
      <c r="F207" s="561">
        <f>SUM(F208:F214)</f>
        <v>5535000</v>
      </c>
      <c r="G207" s="562">
        <f>SUM(G208:G214)</f>
        <v>5614739.4199999999</v>
      </c>
      <c r="H207" s="953">
        <f t="shared" si="30"/>
        <v>1.014406399277326</v>
      </c>
    </row>
    <row r="208" spans="1:8">
      <c r="A208" s="836"/>
      <c r="B208" s="4434"/>
      <c r="C208" s="725" t="s">
        <v>496</v>
      </c>
      <c r="D208" s="540" t="s">
        <v>390</v>
      </c>
      <c r="E208" s="557">
        <v>0</v>
      </c>
      <c r="F208" s="557">
        <v>0</v>
      </c>
      <c r="G208" s="558">
        <v>78429.58</v>
      </c>
      <c r="H208" s="559"/>
    </row>
    <row r="209" spans="1:8" ht="38.25">
      <c r="A209" s="836"/>
      <c r="B209" s="4420"/>
      <c r="C209" s="725" t="s">
        <v>497</v>
      </c>
      <c r="D209" s="540" t="s">
        <v>372</v>
      </c>
      <c r="E209" s="557">
        <v>0</v>
      </c>
      <c r="F209" s="557">
        <v>0</v>
      </c>
      <c r="G209" s="558">
        <v>4276841.74</v>
      </c>
      <c r="H209" s="559"/>
    </row>
    <row r="210" spans="1:8" ht="51">
      <c r="A210" s="836"/>
      <c r="B210" s="4420"/>
      <c r="C210" s="954" t="s">
        <v>498</v>
      </c>
      <c r="D210" s="540" t="s">
        <v>373</v>
      </c>
      <c r="E210" s="541">
        <v>0</v>
      </c>
      <c r="F210" s="541">
        <v>0</v>
      </c>
      <c r="G210" s="542">
        <v>481343.21</v>
      </c>
      <c r="H210" s="559"/>
    </row>
    <row r="211" spans="1:8" ht="51">
      <c r="A211" s="836"/>
      <c r="B211" s="4420"/>
      <c r="C211" s="954" t="s">
        <v>499</v>
      </c>
      <c r="D211" s="4431" t="s">
        <v>386</v>
      </c>
      <c r="E211" s="955">
        <v>0</v>
      </c>
      <c r="F211" s="955">
        <v>0</v>
      </c>
      <c r="G211" s="956">
        <v>795.22</v>
      </c>
      <c r="H211" s="559"/>
    </row>
    <row r="212" spans="1:8" ht="38.25">
      <c r="A212" s="836"/>
      <c r="B212" s="4420"/>
      <c r="C212" s="954" t="s">
        <v>500</v>
      </c>
      <c r="D212" s="4432"/>
      <c r="E212" s="955"/>
      <c r="F212" s="955"/>
      <c r="G212" s="956">
        <v>777308.04</v>
      </c>
      <c r="H212" s="559"/>
    </row>
    <row r="213" spans="1:8">
      <c r="A213" s="836"/>
      <c r="B213" s="4420"/>
      <c r="C213" s="957" t="s">
        <v>501</v>
      </c>
      <c r="D213" s="540" t="s">
        <v>374</v>
      </c>
      <c r="E213" s="541">
        <v>0</v>
      </c>
      <c r="F213" s="541">
        <v>0</v>
      </c>
      <c r="G213" s="542">
        <v>21.63</v>
      </c>
      <c r="H213" s="547"/>
    </row>
    <row r="214" spans="1:8" ht="51.75" customHeight="1">
      <c r="A214" s="836"/>
      <c r="B214" s="4421"/>
      <c r="C214" s="725" t="s">
        <v>502</v>
      </c>
      <c r="D214" s="728" t="s">
        <v>71</v>
      </c>
      <c r="E214" s="557">
        <v>5535000</v>
      </c>
      <c r="F214" s="557">
        <v>5535000</v>
      </c>
      <c r="G214" s="558">
        <v>0</v>
      </c>
      <c r="H214" s="559">
        <f t="shared" si="30"/>
        <v>0</v>
      </c>
    </row>
    <row r="215" spans="1:8" ht="15.75" thickBot="1">
      <c r="A215" s="864"/>
      <c r="B215" s="4384" t="s">
        <v>375</v>
      </c>
      <c r="C215" s="4385"/>
      <c r="D215" s="958"/>
      <c r="E215" s="577">
        <f>E216</f>
        <v>0</v>
      </c>
      <c r="F215" s="577">
        <f t="shared" ref="F215:G215" si="38">F216</f>
        <v>0</v>
      </c>
      <c r="G215" s="578">
        <f t="shared" si="38"/>
        <v>0</v>
      </c>
      <c r="H215" s="579"/>
    </row>
    <row r="216" spans="1:8" ht="15.75" hidden="1" thickBot="1">
      <c r="A216" s="959"/>
      <c r="B216" s="960"/>
      <c r="C216" s="961" t="s">
        <v>503</v>
      </c>
      <c r="D216" s="962" t="s">
        <v>504</v>
      </c>
      <c r="E216" s="963">
        <v>0</v>
      </c>
      <c r="F216" s="963">
        <v>0</v>
      </c>
      <c r="G216" s="964">
        <v>0</v>
      </c>
      <c r="H216" s="965"/>
    </row>
    <row r="217" spans="1:8" ht="31.5" customHeight="1" thickBot="1">
      <c r="A217" s="690">
        <v>730</v>
      </c>
      <c r="B217" s="966"/>
      <c r="C217" s="967" t="s">
        <v>505</v>
      </c>
      <c r="D217" s="523"/>
      <c r="E217" s="625">
        <f>SUM(E218,E223,E229)</f>
        <v>175679</v>
      </c>
      <c r="F217" s="625">
        <f>SUM(F218,F223,F229)</f>
        <v>175679</v>
      </c>
      <c r="G217" s="626">
        <f>SUM(G218,G223,G229)</f>
        <v>72306.820000000007</v>
      </c>
      <c r="H217" s="627">
        <f>G217/F217</f>
        <v>0.4115848792399775</v>
      </c>
    </row>
    <row r="218" spans="1:8" ht="39.75" customHeight="1" thickBot="1">
      <c r="A218" s="4439"/>
      <c r="B218" s="968">
        <v>73016</v>
      </c>
      <c r="C218" s="969" t="s">
        <v>506</v>
      </c>
      <c r="D218" s="970"/>
      <c r="E218" s="889">
        <f>E219+E222</f>
        <v>0</v>
      </c>
      <c r="F218" s="889">
        <f>F219+F222</f>
        <v>0</v>
      </c>
      <c r="G218" s="890">
        <f>G219+G222</f>
        <v>826.78</v>
      </c>
      <c r="H218" s="952"/>
    </row>
    <row r="219" spans="1:8" ht="20.25" customHeight="1">
      <c r="A219" s="4440"/>
      <c r="B219" s="4386" t="s">
        <v>370</v>
      </c>
      <c r="C219" s="4442"/>
      <c r="D219" s="743"/>
      <c r="E219" s="635">
        <f>SUM(E220:E221)</f>
        <v>0</v>
      </c>
      <c r="F219" s="635">
        <f>SUM(F220:F221)</f>
        <v>0</v>
      </c>
      <c r="G219" s="636">
        <f>SUM(G220:G221)</f>
        <v>826.78</v>
      </c>
      <c r="H219" s="953"/>
    </row>
    <row r="220" spans="1:8" ht="22.5" hidden="1" customHeight="1">
      <c r="A220" s="4440"/>
      <c r="B220" s="971"/>
      <c r="C220" s="909" t="s">
        <v>507</v>
      </c>
      <c r="D220" s="583" t="s">
        <v>386</v>
      </c>
      <c r="E220" s="541">
        <v>0</v>
      </c>
      <c r="F220" s="541">
        <v>0</v>
      </c>
      <c r="G220" s="542">
        <v>0</v>
      </c>
      <c r="H220" s="632"/>
    </row>
    <row r="221" spans="1:8" ht="38.25">
      <c r="A221" s="4440"/>
      <c r="B221" s="971"/>
      <c r="C221" s="911" t="s">
        <v>508</v>
      </c>
      <c r="D221" s="540" t="s">
        <v>374</v>
      </c>
      <c r="E221" s="541">
        <v>0</v>
      </c>
      <c r="F221" s="541">
        <v>0</v>
      </c>
      <c r="G221" s="542">
        <v>826.78</v>
      </c>
      <c r="H221" s="559"/>
    </row>
    <row r="222" spans="1:8" ht="15.75" thickBot="1">
      <c r="A222" s="4440"/>
      <c r="B222" s="4384" t="s">
        <v>375</v>
      </c>
      <c r="C222" s="4385"/>
      <c r="D222" s="958"/>
      <c r="E222" s="577">
        <v>0</v>
      </c>
      <c r="F222" s="577">
        <v>0</v>
      </c>
      <c r="G222" s="578">
        <v>0</v>
      </c>
      <c r="H222" s="579"/>
    </row>
    <row r="223" spans="1:8" ht="40.5" customHeight="1" thickBot="1">
      <c r="A223" s="4440"/>
      <c r="B223" s="972">
        <v>73090</v>
      </c>
      <c r="C223" s="642" t="s">
        <v>509</v>
      </c>
      <c r="D223" s="531"/>
      <c r="E223" s="605">
        <f>E224+E228</f>
        <v>0</v>
      </c>
      <c r="F223" s="605">
        <f>F224+F228</f>
        <v>0</v>
      </c>
      <c r="G223" s="606">
        <f>G224+G228</f>
        <v>18935.14</v>
      </c>
      <c r="H223" s="607"/>
    </row>
    <row r="224" spans="1:8">
      <c r="A224" s="4440"/>
      <c r="B224" s="4386" t="s">
        <v>370</v>
      </c>
      <c r="C224" s="4442"/>
      <c r="D224" s="743"/>
      <c r="E224" s="635">
        <f>SUM(E225:E227)</f>
        <v>0</v>
      </c>
      <c r="F224" s="635">
        <f>SUM(F225:F227)</f>
        <v>0</v>
      </c>
      <c r="G224" s="636">
        <f>SUM(G225:G227)</f>
        <v>18935.14</v>
      </c>
      <c r="H224" s="539"/>
    </row>
    <row r="225" spans="1:8" ht="38.25">
      <c r="A225" s="4440"/>
      <c r="B225" s="4443"/>
      <c r="C225" s="909" t="s">
        <v>510</v>
      </c>
      <c r="D225" s="583" t="s">
        <v>511</v>
      </c>
      <c r="E225" s="541">
        <v>0</v>
      </c>
      <c r="F225" s="541">
        <v>0</v>
      </c>
      <c r="G225" s="542">
        <v>960</v>
      </c>
      <c r="H225" s="559"/>
    </row>
    <row r="226" spans="1:8" ht="22.5" customHeight="1">
      <c r="A226" s="4440"/>
      <c r="B226" s="4443"/>
      <c r="C226" s="4444" t="s">
        <v>512</v>
      </c>
      <c r="D226" s="583" t="s">
        <v>513</v>
      </c>
      <c r="E226" s="541">
        <v>0</v>
      </c>
      <c r="F226" s="541">
        <v>0</v>
      </c>
      <c r="G226" s="542">
        <v>15243.63</v>
      </c>
      <c r="H226" s="559"/>
    </row>
    <row r="227" spans="1:8" ht="22.5" customHeight="1">
      <c r="A227" s="4440"/>
      <c r="B227" s="4443"/>
      <c r="C227" s="4445"/>
      <c r="D227" s="583" t="s">
        <v>514</v>
      </c>
      <c r="E227" s="541">
        <v>0</v>
      </c>
      <c r="F227" s="541">
        <v>0</v>
      </c>
      <c r="G227" s="542">
        <v>2731.51</v>
      </c>
      <c r="H227" s="559"/>
    </row>
    <row r="228" spans="1:8" ht="15.75" thickBot="1">
      <c r="A228" s="4440"/>
      <c r="B228" s="4384" t="s">
        <v>375</v>
      </c>
      <c r="C228" s="4385"/>
      <c r="D228" s="958"/>
      <c r="E228" s="577">
        <v>0</v>
      </c>
      <c r="F228" s="577">
        <v>0</v>
      </c>
      <c r="G228" s="578">
        <v>0</v>
      </c>
      <c r="H228" s="579"/>
    </row>
    <row r="229" spans="1:8" ht="27" customHeight="1" thickBot="1">
      <c r="A229" s="4440"/>
      <c r="B229" s="972">
        <v>73095</v>
      </c>
      <c r="C229" s="642" t="s">
        <v>95</v>
      </c>
      <c r="D229" s="531"/>
      <c r="E229" s="605">
        <f>SUM(E230,E235)</f>
        <v>175679</v>
      </c>
      <c r="F229" s="605">
        <f t="shared" ref="F229:G229" si="39">SUM(F230,F235)</f>
        <v>175679</v>
      </c>
      <c r="G229" s="606">
        <f t="shared" si="39"/>
        <v>52544.9</v>
      </c>
      <c r="H229" s="607">
        <f t="shared" ref="H229:H306" si="40">G229/F229</f>
        <v>0.2990960786434349</v>
      </c>
    </row>
    <row r="230" spans="1:8">
      <c r="A230" s="4440"/>
      <c r="B230" s="4397" t="s">
        <v>370</v>
      </c>
      <c r="C230" s="4413"/>
      <c r="D230" s="696"/>
      <c r="E230" s="537">
        <f>SUM(E231:E234)</f>
        <v>175679</v>
      </c>
      <c r="F230" s="537">
        <f t="shared" ref="F230:G230" si="41">SUM(F231:F234)</f>
        <v>175679</v>
      </c>
      <c r="G230" s="538">
        <f t="shared" si="41"/>
        <v>52544.9</v>
      </c>
      <c r="H230" s="744">
        <f t="shared" si="40"/>
        <v>0.2990960786434349</v>
      </c>
    </row>
    <row r="231" spans="1:8" ht="63.75" hidden="1" customHeight="1">
      <c r="A231" s="4440"/>
      <c r="B231" s="4399"/>
      <c r="C231" s="973" t="s">
        <v>515</v>
      </c>
      <c r="D231" s="540" t="s">
        <v>513</v>
      </c>
      <c r="E231" s="545">
        <v>0</v>
      </c>
      <c r="F231" s="545"/>
      <c r="G231" s="546">
        <f t="shared" si="35"/>
        <v>0</v>
      </c>
      <c r="H231" s="547" t="e">
        <f t="shared" si="40"/>
        <v>#DIV/0!</v>
      </c>
    </row>
    <row r="232" spans="1:8" ht="69" customHeight="1">
      <c r="A232" s="4440"/>
      <c r="B232" s="4400"/>
      <c r="C232" s="974" t="s">
        <v>516</v>
      </c>
      <c r="D232" s="4431" t="s">
        <v>517</v>
      </c>
      <c r="E232" s="545">
        <v>175679</v>
      </c>
      <c r="F232" s="545">
        <v>175679</v>
      </c>
      <c r="G232" s="546">
        <v>52544.9</v>
      </c>
      <c r="H232" s="547">
        <f t="shared" si="40"/>
        <v>0.2990960786434349</v>
      </c>
    </row>
    <row r="233" spans="1:8" ht="52.5" hidden="1" customHeight="1">
      <c r="A233" s="4440"/>
      <c r="B233" s="4400"/>
      <c r="C233" s="974" t="s">
        <v>518</v>
      </c>
      <c r="D233" s="4432"/>
      <c r="E233" s="545">
        <v>0</v>
      </c>
      <c r="F233" s="545">
        <v>0</v>
      </c>
      <c r="G233" s="546">
        <v>0</v>
      </c>
      <c r="H233" s="547" t="e">
        <f t="shared" si="40"/>
        <v>#DIV/0!</v>
      </c>
    </row>
    <row r="234" spans="1:8" ht="25.5" hidden="1" customHeight="1">
      <c r="A234" s="4440"/>
      <c r="B234" s="4401"/>
      <c r="C234" s="935" t="s">
        <v>519</v>
      </c>
      <c r="D234" s="975">
        <v>2950</v>
      </c>
      <c r="E234" s="545">
        <v>0</v>
      </c>
      <c r="F234" s="545">
        <v>0</v>
      </c>
      <c r="G234" s="546">
        <v>0</v>
      </c>
      <c r="H234" s="547"/>
    </row>
    <row r="235" spans="1:8" ht="15.75" thickBot="1">
      <c r="A235" s="4441"/>
      <c r="B235" s="4384" t="s">
        <v>375</v>
      </c>
      <c r="C235" s="4385"/>
      <c r="D235" s="576"/>
      <c r="E235" s="577">
        <v>0</v>
      </c>
      <c r="F235" s="577">
        <v>0</v>
      </c>
      <c r="G235" s="578">
        <v>0</v>
      </c>
      <c r="H235" s="579"/>
    </row>
    <row r="236" spans="1:8" ht="27.75" customHeight="1" thickBot="1">
      <c r="A236" s="690">
        <v>750</v>
      </c>
      <c r="B236" s="966"/>
      <c r="C236" s="967" t="s">
        <v>93</v>
      </c>
      <c r="D236" s="523"/>
      <c r="E236" s="524">
        <f>SUM(E237,E242,E257,E262,E277,E281,E272)</f>
        <v>11621302</v>
      </c>
      <c r="F236" s="524">
        <f>SUM(F237,F242,F257,F262,F277,F281,F272)</f>
        <v>9769232</v>
      </c>
      <c r="G236" s="525">
        <f t="shared" ref="G236" si="42">SUM(G237,G242,G257,G262,G277,G281,G272)</f>
        <v>8764810.5399999991</v>
      </c>
      <c r="H236" s="526">
        <f t="shared" si="40"/>
        <v>0.8971852178349331</v>
      </c>
    </row>
    <row r="237" spans="1:8" ht="18.75" customHeight="1" thickBot="1">
      <c r="A237" s="898"/>
      <c r="B237" s="694">
        <v>75011</v>
      </c>
      <c r="C237" s="642" t="s">
        <v>194</v>
      </c>
      <c r="D237" s="531"/>
      <c r="E237" s="532">
        <f>SUM(E238,E241)</f>
        <v>156263</v>
      </c>
      <c r="F237" s="532">
        <f t="shared" ref="F237:G237" si="43">SUM(F238,F241)</f>
        <v>156263</v>
      </c>
      <c r="G237" s="533">
        <f t="shared" si="43"/>
        <v>156596.54</v>
      </c>
      <c r="H237" s="534">
        <f t="shared" si="40"/>
        <v>1.0021344784113961</v>
      </c>
    </row>
    <row r="238" spans="1:8" ht="18.75" customHeight="1">
      <c r="A238" s="899"/>
      <c r="B238" s="4387" t="s">
        <v>370</v>
      </c>
      <c r="C238" s="4433"/>
      <c r="D238" s="900"/>
      <c r="E238" s="537">
        <f>SUM(E239:E240)</f>
        <v>156263</v>
      </c>
      <c r="F238" s="537">
        <f t="shared" ref="F238:G238" si="44">SUM(F239:F240)</f>
        <v>156263</v>
      </c>
      <c r="G238" s="538">
        <f t="shared" si="44"/>
        <v>156596.54</v>
      </c>
      <c r="H238" s="744">
        <f t="shared" si="40"/>
        <v>1.0021344784113961</v>
      </c>
    </row>
    <row r="239" spans="1:8" ht="38.25">
      <c r="A239" s="899"/>
      <c r="B239" s="976"/>
      <c r="C239" s="977" t="s">
        <v>520</v>
      </c>
      <c r="D239" s="978">
        <v>2210</v>
      </c>
      <c r="E239" s="545">
        <v>156000</v>
      </c>
      <c r="F239" s="545">
        <v>156000</v>
      </c>
      <c r="G239" s="546">
        <v>156000</v>
      </c>
      <c r="H239" s="547">
        <f t="shared" si="40"/>
        <v>1</v>
      </c>
    </row>
    <row r="240" spans="1:8" ht="38.25">
      <c r="A240" s="899"/>
      <c r="B240" s="979"/>
      <c r="C240" s="935" t="s">
        <v>407</v>
      </c>
      <c r="D240" s="975">
        <v>2360</v>
      </c>
      <c r="E240" s="566">
        <v>263</v>
      </c>
      <c r="F240" s="566">
        <v>263</v>
      </c>
      <c r="G240" s="567">
        <v>596.54</v>
      </c>
      <c r="H240" s="568">
        <f t="shared" si="40"/>
        <v>2.2682129277566538</v>
      </c>
    </row>
    <row r="241" spans="1:8" ht="20.25" customHeight="1" thickBot="1">
      <c r="A241" s="899"/>
      <c r="B241" s="4384" t="s">
        <v>375</v>
      </c>
      <c r="C241" s="4385"/>
      <c r="D241" s="576"/>
      <c r="E241" s="577">
        <v>0</v>
      </c>
      <c r="F241" s="577">
        <v>0</v>
      </c>
      <c r="G241" s="578">
        <v>0</v>
      </c>
      <c r="H241" s="579"/>
    </row>
    <row r="242" spans="1:8" ht="20.25" customHeight="1" thickBot="1">
      <c r="A242" s="836"/>
      <c r="B242" s="980">
        <v>75018</v>
      </c>
      <c r="C242" s="755" t="s">
        <v>521</v>
      </c>
      <c r="D242" s="756"/>
      <c r="E242" s="757">
        <f>SUM(E243,E255)</f>
        <v>318000</v>
      </c>
      <c r="F242" s="757">
        <f>SUM(F243,F255)</f>
        <v>318000</v>
      </c>
      <c r="G242" s="758">
        <f>SUM(G243,G255)</f>
        <v>594673.71</v>
      </c>
      <c r="H242" s="759">
        <f t="shared" ref="H242:H254" si="45">G242/F242</f>
        <v>1.870043113207547</v>
      </c>
    </row>
    <row r="243" spans="1:8" ht="18" customHeight="1">
      <c r="A243" s="836"/>
      <c r="B243" s="4409" t="s">
        <v>370</v>
      </c>
      <c r="C243" s="4414"/>
      <c r="D243" s="981"/>
      <c r="E243" s="982">
        <f>SUM(E244:E254)</f>
        <v>318000</v>
      </c>
      <c r="F243" s="982">
        <f>SUM(F244:F254)</f>
        <v>318000</v>
      </c>
      <c r="G243" s="983">
        <f>SUM(G244:G254)</f>
        <v>594470.46</v>
      </c>
      <c r="H243" s="984">
        <f t="shared" si="45"/>
        <v>1.8694039622641507</v>
      </c>
    </row>
    <row r="244" spans="1:8" ht="18.75" customHeight="1">
      <c r="A244" s="836"/>
      <c r="B244" s="672"/>
      <c r="C244" s="4422" t="s">
        <v>379</v>
      </c>
      <c r="D244" s="798" t="s">
        <v>390</v>
      </c>
      <c r="E244" s="985">
        <v>0</v>
      </c>
      <c r="F244" s="985">
        <v>0</v>
      </c>
      <c r="G244" s="986">
        <v>101598</v>
      </c>
      <c r="H244" s="768"/>
    </row>
    <row r="245" spans="1:8" ht="21" customHeight="1">
      <c r="A245" s="836"/>
      <c r="B245" s="678"/>
      <c r="C245" s="4423"/>
      <c r="D245" s="774" t="s">
        <v>180</v>
      </c>
      <c r="E245" s="985">
        <v>0</v>
      </c>
      <c r="F245" s="985">
        <v>0</v>
      </c>
      <c r="G245" s="986">
        <v>69428.710000000006</v>
      </c>
      <c r="H245" s="768"/>
    </row>
    <row r="246" spans="1:8" ht="28.5" hidden="1" customHeight="1">
      <c r="A246" s="836"/>
      <c r="B246" s="678"/>
      <c r="C246" s="4423"/>
      <c r="D246" s="987" t="s">
        <v>18</v>
      </c>
      <c r="E246" s="772">
        <v>0</v>
      </c>
      <c r="F246" s="850">
        <v>0</v>
      </c>
      <c r="G246" s="773">
        <v>0</v>
      </c>
      <c r="H246" s="768" t="e">
        <f t="shared" si="45"/>
        <v>#DIV/0!</v>
      </c>
    </row>
    <row r="247" spans="1:8" ht="33" customHeight="1">
      <c r="A247" s="836"/>
      <c r="B247" s="678"/>
      <c r="C247" s="4423"/>
      <c r="D247" s="988" t="s">
        <v>372</v>
      </c>
      <c r="E247" s="772">
        <v>100000</v>
      </c>
      <c r="F247" s="772">
        <v>100000</v>
      </c>
      <c r="G247" s="773">
        <v>101329.75</v>
      </c>
      <c r="H247" s="768">
        <f t="shared" si="45"/>
        <v>1.0132975</v>
      </c>
    </row>
    <row r="248" spans="1:8">
      <c r="A248" s="836"/>
      <c r="B248" s="678"/>
      <c r="C248" s="4423"/>
      <c r="D248" s="989" t="s">
        <v>373</v>
      </c>
      <c r="E248" s="772">
        <v>40000</v>
      </c>
      <c r="F248" s="772">
        <v>40000</v>
      </c>
      <c r="G248" s="773">
        <v>35304.25</v>
      </c>
      <c r="H248" s="768">
        <f t="shared" si="45"/>
        <v>0.88260625000000004</v>
      </c>
    </row>
    <row r="249" spans="1:8" ht="30" customHeight="1">
      <c r="A249" s="836"/>
      <c r="B249" s="678"/>
      <c r="C249" s="4423"/>
      <c r="D249" s="989" t="s">
        <v>386</v>
      </c>
      <c r="E249" s="772">
        <v>0</v>
      </c>
      <c r="F249" s="772">
        <v>0</v>
      </c>
      <c r="G249" s="773">
        <v>90.4</v>
      </c>
      <c r="H249" s="768"/>
    </row>
    <row r="250" spans="1:8">
      <c r="A250" s="836"/>
      <c r="B250" s="678"/>
      <c r="C250" s="4423"/>
      <c r="D250" s="989" t="s">
        <v>374</v>
      </c>
      <c r="E250" s="772">
        <v>80000</v>
      </c>
      <c r="F250" s="772">
        <v>80000</v>
      </c>
      <c r="G250" s="773">
        <v>70908.149999999994</v>
      </c>
      <c r="H250" s="768">
        <f t="shared" si="45"/>
        <v>0.8863518749999999</v>
      </c>
    </row>
    <row r="251" spans="1:8">
      <c r="A251" s="836"/>
      <c r="B251" s="4425"/>
      <c r="C251" s="4423"/>
      <c r="D251" s="989" t="s">
        <v>380</v>
      </c>
      <c r="E251" s="772">
        <v>0</v>
      </c>
      <c r="F251" s="772">
        <v>0</v>
      </c>
      <c r="G251" s="773">
        <v>117986.1</v>
      </c>
      <c r="H251" s="768"/>
    </row>
    <row r="252" spans="1:8" ht="44.25" customHeight="1">
      <c r="A252" s="4419"/>
      <c r="B252" s="4425"/>
      <c r="C252" s="4424"/>
      <c r="D252" s="989" t="s">
        <v>71</v>
      </c>
      <c r="E252" s="772">
        <v>20000</v>
      </c>
      <c r="F252" s="772">
        <v>20000</v>
      </c>
      <c r="G252" s="773">
        <v>19825.099999999999</v>
      </c>
      <c r="H252" s="768">
        <f t="shared" si="45"/>
        <v>0.99125499999999989</v>
      </c>
    </row>
    <row r="253" spans="1:8" ht="30.75" customHeight="1">
      <c r="A253" s="4419"/>
      <c r="B253" s="4426"/>
      <c r="C253" s="990" t="s">
        <v>443</v>
      </c>
      <c r="D253" s="989" t="s">
        <v>444</v>
      </c>
      <c r="E253" s="822">
        <v>78000</v>
      </c>
      <c r="F253" s="822">
        <v>78000</v>
      </c>
      <c r="G253" s="823">
        <v>78000</v>
      </c>
      <c r="H253" s="802">
        <f t="shared" si="45"/>
        <v>1</v>
      </c>
    </row>
    <row r="254" spans="1:8" ht="25.5" hidden="1" customHeight="1">
      <c r="A254" s="836"/>
      <c r="B254" s="678"/>
      <c r="C254" s="944" t="s">
        <v>522</v>
      </c>
      <c r="D254" s="991" t="s">
        <v>32</v>
      </c>
      <c r="E254" s="992">
        <v>0</v>
      </c>
      <c r="F254" s="687">
        <v>0</v>
      </c>
      <c r="G254" s="805">
        <v>0</v>
      </c>
      <c r="H254" s="993" t="e">
        <f t="shared" si="45"/>
        <v>#DIV/0!</v>
      </c>
    </row>
    <row r="255" spans="1:8">
      <c r="A255" s="836"/>
      <c r="B255" s="4427" t="s">
        <v>416</v>
      </c>
      <c r="C255" s="4428"/>
      <c r="D255" s="994"/>
      <c r="E255" s="995">
        <f>SUM(E256)</f>
        <v>0</v>
      </c>
      <c r="F255" s="995">
        <f t="shared" ref="F255:G255" si="46">SUM(F256)</f>
        <v>0</v>
      </c>
      <c r="G255" s="996">
        <f t="shared" si="46"/>
        <v>203.25</v>
      </c>
      <c r="H255" s="794"/>
    </row>
    <row r="256" spans="1:8" ht="26.25" thickBot="1">
      <c r="A256" s="864"/>
      <c r="B256" s="997"/>
      <c r="C256" s="998" t="s">
        <v>379</v>
      </c>
      <c r="D256" s="781" t="s">
        <v>376</v>
      </c>
      <c r="E256" s="999">
        <v>0</v>
      </c>
      <c r="F256" s="999">
        <v>0</v>
      </c>
      <c r="G256" s="1000">
        <v>203.25</v>
      </c>
      <c r="H256" s="784"/>
    </row>
    <row r="257" spans="1:8" ht="15.75" thickBot="1">
      <c r="A257" s="1001"/>
      <c r="B257" s="980">
        <v>75046</v>
      </c>
      <c r="C257" s="755" t="s">
        <v>272</v>
      </c>
      <c r="D257" s="756"/>
      <c r="E257" s="757">
        <f t="shared" ref="E257:G257" si="47">SUM(E258,E261)</f>
        <v>21053</v>
      </c>
      <c r="F257" s="757">
        <f t="shared" si="47"/>
        <v>21053</v>
      </c>
      <c r="G257" s="758">
        <f t="shared" si="47"/>
        <v>13103.55</v>
      </c>
      <c r="H257" s="759">
        <f t="shared" si="40"/>
        <v>0.62240773286467488</v>
      </c>
    </row>
    <row r="258" spans="1:8">
      <c r="A258" s="811"/>
      <c r="B258" s="4429" t="s">
        <v>370</v>
      </c>
      <c r="C258" s="4430"/>
      <c r="D258" s="1002"/>
      <c r="E258" s="982">
        <f>SUM(E259:E260)</f>
        <v>21053</v>
      </c>
      <c r="F258" s="982">
        <f t="shared" ref="F258:G258" si="48">SUM(F259:F260)</f>
        <v>21053</v>
      </c>
      <c r="G258" s="983">
        <f t="shared" si="48"/>
        <v>13103.55</v>
      </c>
      <c r="H258" s="984">
        <f t="shared" si="40"/>
        <v>0.62240773286467488</v>
      </c>
    </row>
    <row r="259" spans="1:8" ht="43.5" customHeight="1">
      <c r="A259" s="811"/>
      <c r="B259" s="4435"/>
      <c r="C259" s="1003" t="s">
        <v>394</v>
      </c>
      <c r="D259" s="832">
        <v>2210</v>
      </c>
      <c r="E259" s="772">
        <v>20000</v>
      </c>
      <c r="F259" s="772">
        <v>20000</v>
      </c>
      <c r="G259" s="773">
        <v>12733.05</v>
      </c>
      <c r="H259" s="768">
        <f t="shared" si="40"/>
        <v>0.63665249999999995</v>
      </c>
    </row>
    <row r="260" spans="1:8" s="905" customFormat="1" ht="43.5" customHeight="1">
      <c r="A260" s="811"/>
      <c r="B260" s="4436"/>
      <c r="C260" s="1004" t="s">
        <v>407</v>
      </c>
      <c r="D260" s="1005">
        <v>2360</v>
      </c>
      <c r="E260" s="822">
        <v>1053</v>
      </c>
      <c r="F260" s="822">
        <v>1053</v>
      </c>
      <c r="G260" s="823">
        <v>370.5</v>
      </c>
      <c r="H260" s="802">
        <f t="shared" si="40"/>
        <v>0.35185185185185186</v>
      </c>
    </row>
    <row r="261" spans="1:8" s="905" customFormat="1" ht="15" customHeight="1" thickBot="1">
      <c r="A261" s="811"/>
      <c r="B261" s="4437" t="s">
        <v>375</v>
      </c>
      <c r="C261" s="4438"/>
      <c r="D261" s="1006"/>
      <c r="E261" s="1007">
        <v>0</v>
      </c>
      <c r="F261" s="1007">
        <v>0</v>
      </c>
      <c r="G261" s="1008">
        <v>0</v>
      </c>
      <c r="H261" s="1009"/>
    </row>
    <row r="262" spans="1:8" s="905" customFormat="1" ht="15" customHeight="1" thickBot="1">
      <c r="A262" s="811"/>
      <c r="B262" s="754">
        <v>75075</v>
      </c>
      <c r="C262" s="1010" t="s">
        <v>362</v>
      </c>
      <c r="D262" s="1011"/>
      <c r="E262" s="757">
        <f>SUM(E271,E263)</f>
        <v>262589</v>
      </c>
      <c r="F262" s="757">
        <f>SUM(F271,F263)</f>
        <v>226408</v>
      </c>
      <c r="G262" s="758">
        <f>SUM(G271,G263)</f>
        <v>128478.56</v>
      </c>
      <c r="H262" s="759">
        <f t="shared" si="40"/>
        <v>0.56746475389562201</v>
      </c>
    </row>
    <row r="263" spans="1:8" s="905" customFormat="1" ht="15" customHeight="1">
      <c r="A263" s="811"/>
      <c r="B263" s="4409" t="s">
        <v>370</v>
      </c>
      <c r="C263" s="4414"/>
      <c r="D263" s="760"/>
      <c r="E263" s="761">
        <f>SUM(E264:E270)</f>
        <v>262589</v>
      </c>
      <c r="F263" s="761">
        <f t="shared" ref="F263:G263" si="49">SUM(F264:F270)</f>
        <v>226408</v>
      </c>
      <c r="G263" s="762">
        <f t="shared" si="49"/>
        <v>128478.56</v>
      </c>
      <c r="H263" s="763">
        <f t="shared" si="40"/>
        <v>0.56746475389562201</v>
      </c>
    </row>
    <row r="264" spans="1:8">
      <c r="A264" s="811"/>
      <c r="B264" s="1012"/>
      <c r="C264" s="4415" t="s">
        <v>379</v>
      </c>
      <c r="D264" s="765" t="s">
        <v>386</v>
      </c>
      <c r="E264" s="992">
        <v>0</v>
      </c>
      <c r="F264" s="992">
        <v>0</v>
      </c>
      <c r="G264" s="805">
        <v>11.88</v>
      </c>
      <c r="H264" s="1013"/>
    </row>
    <row r="265" spans="1:8">
      <c r="A265" s="811"/>
      <c r="B265" s="1014"/>
      <c r="C265" s="4416"/>
      <c r="D265" s="765" t="s">
        <v>380</v>
      </c>
      <c r="E265" s="770">
        <v>0</v>
      </c>
      <c r="F265" s="770">
        <v>0</v>
      </c>
      <c r="G265" s="771">
        <v>2802</v>
      </c>
      <c r="H265" s="1015"/>
    </row>
    <row r="266" spans="1:8" ht="64.5" customHeight="1">
      <c r="A266" s="836"/>
      <c r="B266" s="1016"/>
      <c r="C266" s="800" t="s">
        <v>523</v>
      </c>
      <c r="D266" s="765" t="s">
        <v>524</v>
      </c>
      <c r="E266" s="766">
        <v>52552</v>
      </c>
      <c r="F266" s="766">
        <v>16371</v>
      </c>
      <c r="G266" s="767">
        <v>0</v>
      </c>
      <c r="H266" s="1017">
        <f t="shared" si="40"/>
        <v>0</v>
      </c>
    </row>
    <row r="267" spans="1:8" ht="9.75" hidden="1" customHeight="1">
      <c r="A267" s="836"/>
      <c r="B267" s="1016"/>
      <c r="C267" s="800" t="s">
        <v>525</v>
      </c>
      <c r="D267" s="4417" t="s">
        <v>517</v>
      </c>
      <c r="E267" s="770">
        <v>0</v>
      </c>
      <c r="F267" s="770">
        <v>0</v>
      </c>
      <c r="G267" s="771">
        <v>0</v>
      </c>
      <c r="H267" s="1015" t="e">
        <f t="shared" si="40"/>
        <v>#DIV/0!</v>
      </c>
    </row>
    <row r="268" spans="1:8" ht="82.5" customHeight="1">
      <c r="A268" s="836"/>
      <c r="B268" s="1016"/>
      <c r="C268" s="1018" t="s">
        <v>526</v>
      </c>
      <c r="D268" s="4418"/>
      <c r="E268" s="770">
        <v>198365</v>
      </c>
      <c r="F268" s="770">
        <v>198365</v>
      </c>
      <c r="G268" s="771">
        <v>41644.480000000003</v>
      </c>
      <c r="H268" s="1015">
        <f t="shared" si="40"/>
        <v>0.20993864845108764</v>
      </c>
    </row>
    <row r="269" spans="1:8" ht="76.5">
      <c r="A269" s="4419"/>
      <c r="B269" s="4420"/>
      <c r="C269" s="1018" t="s">
        <v>527</v>
      </c>
      <c r="D269" s="769" t="s">
        <v>528</v>
      </c>
      <c r="E269" s="830">
        <v>11672</v>
      </c>
      <c r="F269" s="830">
        <v>11672</v>
      </c>
      <c r="G269" s="1019">
        <v>701.54</v>
      </c>
      <c r="H269" s="806">
        <f t="shared" si="40"/>
        <v>6.0104523646333105E-2</v>
      </c>
    </row>
    <row r="270" spans="1:8" ht="38.25">
      <c r="A270" s="4419"/>
      <c r="B270" s="4421"/>
      <c r="C270" s="1020" t="s">
        <v>529</v>
      </c>
      <c r="D270" s="769" t="s">
        <v>431</v>
      </c>
      <c r="E270" s="804">
        <v>0</v>
      </c>
      <c r="F270" s="804">
        <v>0</v>
      </c>
      <c r="G270" s="1021">
        <v>83318.66</v>
      </c>
      <c r="H270" s="1015"/>
    </row>
    <row r="271" spans="1:8" ht="15" customHeight="1" thickBot="1">
      <c r="A271" s="814"/>
      <c r="B271" s="4407" t="s">
        <v>375</v>
      </c>
      <c r="C271" s="4408"/>
      <c r="D271" s="1006"/>
      <c r="E271" s="1007">
        <v>0</v>
      </c>
      <c r="F271" s="1007">
        <v>0</v>
      </c>
      <c r="G271" s="1008">
        <v>0</v>
      </c>
      <c r="H271" s="1022"/>
    </row>
    <row r="272" spans="1:8" ht="15.75" thickBot="1">
      <c r="A272" s="1001"/>
      <c r="B272" s="754">
        <v>75079</v>
      </c>
      <c r="C272" s="1023" t="s">
        <v>530</v>
      </c>
      <c r="D272" s="1024"/>
      <c r="E272" s="1025">
        <f t="shared" ref="E272" si="50">SUM(E273,E275)</f>
        <v>0</v>
      </c>
      <c r="F272" s="1025">
        <f>SUM(F273,F275)</f>
        <v>273100</v>
      </c>
      <c r="G272" s="1026">
        <f>SUM(G273,G275)</f>
        <v>195967.5</v>
      </c>
      <c r="H272" s="1027">
        <f t="shared" ref="H272:H274" si="51">G272/F272</f>
        <v>0.71756682533870375</v>
      </c>
    </row>
    <row r="273" spans="1:8" ht="15" customHeight="1">
      <c r="A273" s="811"/>
      <c r="B273" s="4409" t="s">
        <v>370</v>
      </c>
      <c r="C273" s="4410"/>
      <c r="D273" s="760"/>
      <c r="E273" s="761">
        <f t="shared" ref="E273:F273" si="52">SUM(E274)</f>
        <v>0</v>
      </c>
      <c r="F273" s="761">
        <f t="shared" si="52"/>
        <v>188000</v>
      </c>
      <c r="G273" s="762">
        <f>SUM(G274)</f>
        <v>123360.6</v>
      </c>
      <c r="H273" s="763">
        <f t="shared" si="51"/>
        <v>0.65617340425531923</v>
      </c>
    </row>
    <row r="274" spans="1:8" ht="43.5" customHeight="1">
      <c r="A274" s="811"/>
      <c r="B274" s="1028"/>
      <c r="C274" s="1029" t="s">
        <v>531</v>
      </c>
      <c r="D274" s="1030">
        <v>2220</v>
      </c>
      <c r="E274" s="772">
        <v>0</v>
      </c>
      <c r="F274" s="772">
        <v>188000</v>
      </c>
      <c r="G274" s="773">
        <v>123360.6</v>
      </c>
      <c r="H274" s="768">
        <f t="shared" si="51"/>
        <v>0.65617340425531923</v>
      </c>
    </row>
    <row r="275" spans="1:8" ht="15" customHeight="1">
      <c r="A275" s="811"/>
      <c r="B275" s="4411" t="s">
        <v>375</v>
      </c>
      <c r="C275" s="4412"/>
      <c r="D275" s="1031"/>
      <c r="E275" s="1032">
        <f>E276</f>
        <v>0</v>
      </c>
      <c r="F275" s="1032">
        <f t="shared" ref="F275:G275" si="53">F276</f>
        <v>85100</v>
      </c>
      <c r="G275" s="1033">
        <f t="shared" si="53"/>
        <v>72606.899999999994</v>
      </c>
      <c r="H275" s="1034">
        <f>G275/F275</f>
        <v>0.85319506462984718</v>
      </c>
    </row>
    <row r="276" spans="1:8" ht="43.5" customHeight="1" thickBot="1">
      <c r="A276" s="811"/>
      <c r="B276" s="1028"/>
      <c r="C276" s="1035" t="s">
        <v>532</v>
      </c>
      <c r="D276" s="1030">
        <v>6520</v>
      </c>
      <c r="E276" s="985">
        <v>0</v>
      </c>
      <c r="F276" s="985">
        <v>85100</v>
      </c>
      <c r="G276" s="986">
        <v>72606.899999999994</v>
      </c>
      <c r="H276" s="1036">
        <f t="shared" ref="H276" si="54">G276/F276</f>
        <v>0.85319506462984718</v>
      </c>
    </row>
    <row r="277" spans="1:8" ht="15.75" thickBot="1">
      <c r="A277" s="811"/>
      <c r="B277" s="754">
        <v>75084</v>
      </c>
      <c r="C277" s="1023" t="s">
        <v>274</v>
      </c>
      <c r="D277" s="1024"/>
      <c r="E277" s="1025">
        <f t="shared" ref="E277:G277" si="55">SUM(E278,E280)</f>
        <v>216000</v>
      </c>
      <c r="F277" s="1025">
        <f t="shared" si="55"/>
        <v>216000</v>
      </c>
      <c r="G277" s="1026">
        <f t="shared" si="55"/>
        <v>215995.58</v>
      </c>
      <c r="H277" s="1027">
        <f t="shared" si="40"/>
        <v>0.99997953703703701</v>
      </c>
    </row>
    <row r="278" spans="1:8" ht="15" customHeight="1">
      <c r="A278" s="811"/>
      <c r="B278" s="4409" t="s">
        <v>370</v>
      </c>
      <c r="C278" s="4410"/>
      <c r="D278" s="760"/>
      <c r="E278" s="761">
        <f t="shared" ref="E278:F278" si="56">SUM(E279)</f>
        <v>216000</v>
      </c>
      <c r="F278" s="761">
        <f t="shared" si="56"/>
        <v>216000</v>
      </c>
      <c r="G278" s="762">
        <f>SUM(G279)</f>
        <v>215995.58</v>
      </c>
      <c r="H278" s="763">
        <f t="shared" si="40"/>
        <v>0.99997953703703701</v>
      </c>
    </row>
    <row r="279" spans="1:8" ht="43.5" customHeight="1">
      <c r="A279" s="811"/>
      <c r="B279" s="1028"/>
      <c r="C279" s="1029" t="s">
        <v>394</v>
      </c>
      <c r="D279" s="1030">
        <v>2210</v>
      </c>
      <c r="E279" s="772">
        <v>216000</v>
      </c>
      <c r="F279" s="772">
        <v>216000</v>
      </c>
      <c r="G279" s="773">
        <v>215995.58</v>
      </c>
      <c r="H279" s="768">
        <f t="shared" si="40"/>
        <v>0.99997953703703701</v>
      </c>
    </row>
    <row r="280" spans="1:8" ht="15" customHeight="1" thickBot="1">
      <c r="A280" s="811"/>
      <c r="B280" s="4407" t="s">
        <v>375</v>
      </c>
      <c r="C280" s="4408"/>
      <c r="D280" s="1037"/>
      <c r="E280" s="1007">
        <v>0</v>
      </c>
      <c r="F280" s="1007">
        <v>0</v>
      </c>
      <c r="G280" s="1008">
        <v>0</v>
      </c>
      <c r="H280" s="1009"/>
    </row>
    <row r="281" spans="1:8" ht="15" customHeight="1" thickBot="1">
      <c r="A281" s="836"/>
      <c r="B281" s="968">
        <v>75095</v>
      </c>
      <c r="C281" s="922" t="s">
        <v>95</v>
      </c>
      <c r="D281" s="1038"/>
      <c r="E281" s="889">
        <f>SUM(E282,E304)</f>
        <v>10647397</v>
      </c>
      <c r="F281" s="889">
        <f>SUM(F282,F304)</f>
        <v>8558408</v>
      </c>
      <c r="G281" s="890">
        <f>SUM(G282,G304)</f>
        <v>7459995.0999999996</v>
      </c>
      <c r="H281" s="1039">
        <f t="shared" si="40"/>
        <v>0.87165686655742514</v>
      </c>
    </row>
    <row r="282" spans="1:8" ht="15" customHeight="1">
      <c r="A282" s="836"/>
      <c r="B282" s="4397" t="s">
        <v>370</v>
      </c>
      <c r="C282" s="4413"/>
      <c r="D282" s="1040"/>
      <c r="E282" s="561">
        <f>SUM(E283:E303)</f>
        <v>8032208</v>
      </c>
      <c r="F282" s="561">
        <f>SUM(F283:F303)</f>
        <v>6390534</v>
      </c>
      <c r="G282" s="562">
        <f>SUM(G283:G303)</f>
        <v>6375600.9500000002</v>
      </c>
      <c r="H282" s="539">
        <f t="shared" si="40"/>
        <v>0.99766325474522166</v>
      </c>
    </row>
    <row r="283" spans="1:8" ht="63.75">
      <c r="A283" s="836"/>
      <c r="B283" s="1016"/>
      <c r="C283" s="1041" t="s">
        <v>533</v>
      </c>
      <c r="D283" s="913" t="s">
        <v>493</v>
      </c>
      <c r="E283" s="1042">
        <v>0</v>
      </c>
      <c r="F283" s="955">
        <v>3726</v>
      </c>
      <c r="G283" s="956">
        <v>3755</v>
      </c>
      <c r="H283" s="1043">
        <f t="shared" si="40"/>
        <v>1.0077831454643049</v>
      </c>
    </row>
    <row r="284" spans="1:8" ht="69" customHeight="1">
      <c r="A284" s="836"/>
      <c r="B284" s="1016"/>
      <c r="C284" s="1044" t="s">
        <v>534</v>
      </c>
      <c r="D284" s="4402" t="s">
        <v>535</v>
      </c>
      <c r="E284" s="541">
        <v>1437801</v>
      </c>
      <c r="F284" s="541">
        <v>789700</v>
      </c>
      <c r="G284" s="542">
        <v>1093176.57</v>
      </c>
      <c r="H284" s="632">
        <f t="shared" si="40"/>
        <v>1.3842934911991895</v>
      </c>
    </row>
    <row r="285" spans="1:8" ht="52.5" customHeight="1" thickBot="1">
      <c r="A285" s="864"/>
      <c r="B285" s="1045"/>
      <c r="C285" s="1046" t="s">
        <v>536</v>
      </c>
      <c r="D285" s="4403"/>
      <c r="E285" s="1047">
        <v>103347</v>
      </c>
      <c r="F285" s="1047">
        <v>42672</v>
      </c>
      <c r="G285" s="1048">
        <v>178795</v>
      </c>
      <c r="H285" s="1049">
        <f t="shared" si="40"/>
        <v>4.1899840644919388</v>
      </c>
    </row>
    <row r="286" spans="1:8" ht="54" customHeight="1">
      <c r="A286" s="870"/>
      <c r="B286" s="1050"/>
      <c r="C286" s="1051" t="s">
        <v>537</v>
      </c>
      <c r="D286" s="4404">
        <v>2008</v>
      </c>
      <c r="E286" s="738">
        <v>1445000</v>
      </c>
      <c r="F286" s="738">
        <v>1468641</v>
      </c>
      <c r="G286" s="739">
        <v>1331774.72</v>
      </c>
      <c r="H286" s="740">
        <f t="shared" si="40"/>
        <v>0.90680753158872729</v>
      </c>
    </row>
    <row r="287" spans="1:8" ht="66.75" customHeight="1">
      <c r="A287" s="836"/>
      <c r="B287" s="1016"/>
      <c r="C287" s="588" t="s">
        <v>538</v>
      </c>
      <c r="D287" s="4405"/>
      <c r="E287" s="545">
        <v>553516</v>
      </c>
      <c r="F287" s="545">
        <v>351687</v>
      </c>
      <c r="G287" s="546">
        <v>250013.15</v>
      </c>
      <c r="H287" s="547">
        <f t="shared" si="40"/>
        <v>0.71089676331510687</v>
      </c>
    </row>
    <row r="288" spans="1:8" ht="78.75" customHeight="1">
      <c r="A288" s="836"/>
      <c r="B288" s="1016"/>
      <c r="C288" s="588" t="s">
        <v>539</v>
      </c>
      <c r="D288" s="4394"/>
      <c r="E288" s="545">
        <v>17637</v>
      </c>
      <c r="F288" s="545">
        <v>17637</v>
      </c>
      <c r="G288" s="546">
        <v>7219.18</v>
      </c>
      <c r="H288" s="547">
        <f t="shared" si="40"/>
        <v>0.40932017916879287</v>
      </c>
    </row>
    <row r="289" spans="1:8" ht="38.25">
      <c r="A289" s="836"/>
      <c r="B289" s="678"/>
      <c r="C289" s="1044" t="s">
        <v>540</v>
      </c>
      <c r="D289" s="4393">
        <v>2009</v>
      </c>
      <c r="E289" s="545">
        <v>255000</v>
      </c>
      <c r="F289" s="545">
        <v>259172</v>
      </c>
      <c r="G289" s="546">
        <v>235020.84</v>
      </c>
      <c r="H289" s="547">
        <f t="shared" si="40"/>
        <v>0.90681416202367537</v>
      </c>
    </row>
    <row r="290" spans="1:8" ht="69.75" customHeight="1">
      <c r="A290" s="836"/>
      <c r="B290" s="678"/>
      <c r="C290" s="1044" t="s">
        <v>541</v>
      </c>
      <c r="D290" s="4405"/>
      <c r="E290" s="557">
        <v>87070</v>
      </c>
      <c r="F290" s="557">
        <v>47822</v>
      </c>
      <c r="G290" s="558">
        <v>66200.429999999993</v>
      </c>
      <c r="H290" s="559">
        <f t="shared" si="40"/>
        <v>1.3843091045962108</v>
      </c>
    </row>
    <row r="291" spans="1:8" ht="51">
      <c r="A291" s="836"/>
      <c r="B291" s="678"/>
      <c r="C291" s="1044" t="s">
        <v>542</v>
      </c>
      <c r="D291" s="4405"/>
      <c r="E291" s="557">
        <v>7014</v>
      </c>
      <c r="F291" s="557">
        <v>2897</v>
      </c>
      <c r="G291" s="558">
        <v>12135.12</v>
      </c>
      <c r="H291" s="559">
        <f t="shared" si="40"/>
        <v>4.1888574387297206</v>
      </c>
    </row>
    <row r="292" spans="1:8" ht="70.5" customHeight="1">
      <c r="A292" s="836"/>
      <c r="B292" s="678"/>
      <c r="C292" s="1052" t="s">
        <v>543</v>
      </c>
      <c r="D292" s="4405"/>
      <c r="E292" s="566">
        <v>3112</v>
      </c>
      <c r="F292" s="566">
        <v>3112</v>
      </c>
      <c r="G292" s="567">
        <v>1273.97</v>
      </c>
      <c r="H292" s="568">
        <f t="shared" si="40"/>
        <v>0.40937339331619538</v>
      </c>
    </row>
    <row r="293" spans="1:8" ht="54.75" customHeight="1" thickBot="1">
      <c r="A293" s="864"/>
      <c r="B293" s="1053"/>
      <c r="C293" s="1054" t="s">
        <v>544</v>
      </c>
      <c r="D293" s="4406"/>
      <c r="E293" s="600">
        <v>97679</v>
      </c>
      <c r="F293" s="600">
        <v>62063</v>
      </c>
      <c r="G293" s="601">
        <v>44119.62</v>
      </c>
      <c r="H293" s="602">
        <f t="shared" si="40"/>
        <v>0.71088442389185191</v>
      </c>
    </row>
    <row r="294" spans="1:8" ht="64.5" customHeight="1">
      <c r="A294" s="870"/>
      <c r="B294" s="1055"/>
      <c r="C294" s="1056" t="s">
        <v>534</v>
      </c>
      <c r="D294" s="4404">
        <v>2057</v>
      </c>
      <c r="E294" s="738">
        <v>2112154</v>
      </c>
      <c r="F294" s="738">
        <v>1457690</v>
      </c>
      <c r="G294" s="739">
        <v>1477754.37</v>
      </c>
      <c r="H294" s="740">
        <f t="shared" si="40"/>
        <v>1.0137644972525024</v>
      </c>
    </row>
    <row r="295" spans="1:8" ht="51" customHeight="1">
      <c r="A295" s="836"/>
      <c r="B295" s="678"/>
      <c r="C295" s="1057" t="s">
        <v>536</v>
      </c>
      <c r="D295" s="4394"/>
      <c r="E295" s="566">
        <v>708411</v>
      </c>
      <c r="F295" s="566">
        <v>638285</v>
      </c>
      <c r="G295" s="567">
        <v>881655.64</v>
      </c>
      <c r="H295" s="568">
        <f t="shared" si="40"/>
        <v>1.381288358648566</v>
      </c>
    </row>
    <row r="296" spans="1:8" ht="63.75">
      <c r="A296" s="836"/>
      <c r="B296" s="678"/>
      <c r="C296" s="1058" t="s">
        <v>545</v>
      </c>
      <c r="D296" s="4393">
        <v>2058</v>
      </c>
      <c r="E296" s="545">
        <v>815113</v>
      </c>
      <c r="F296" s="545">
        <v>881219</v>
      </c>
      <c r="G296" s="546">
        <v>464032.18</v>
      </c>
      <c r="H296" s="547">
        <f t="shared" si="40"/>
        <v>0.52657986266750945</v>
      </c>
    </row>
    <row r="297" spans="1:8" ht="66.75" customHeight="1">
      <c r="A297" s="836"/>
      <c r="B297" s="678"/>
      <c r="C297" s="1059" t="s">
        <v>546</v>
      </c>
      <c r="D297" s="4394"/>
      <c r="E297" s="545">
        <v>196368</v>
      </c>
      <c r="F297" s="545">
        <v>196368</v>
      </c>
      <c r="G297" s="546">
        <v>143098.92000000001</v>
      </c>
      <c r="H297" s="547">
        <f t="shared" si="40"/>
        <v>0.72872830603764371</v>
      </c>
    </row>
    <row r="298" spans="1:8" ht="65.25" customHeight="1">
      <c r="A298" s="836"/>
      <c r="B298" s="678"/>
      <c r="C298" s="1060" t="s">
        <v>547</v>
      </c>
      <c r="D298" s="4405">
        <v>2059</v>
      </c>
      <c r="E298" s="557">
        <v>127907</v>
      </c>
      <c r="F298" s="557">
        <v>88274</v>
      </c>
      <c r="G298" s="558">
        <v>89489.63</v>
      </c>
      <c r="H298" s="559">
        <f t="shared" si="40"/>
        <v>1.0137710990778712</v>
      </c>
    </row>
    <row r="299" spans="1:8" ht="50.25" customHeight="1">
      <c r="A299" s="836"/>
      <c r="B299" s="678"/>
      <c r="C299" s="1061" t="s">
        <v>542</v>
      </c>
      <c r="D299" s="4405"/>
      <c r="E299" s="545">
        <v>48079</v>
      </c>
      <c r="F299" s="545">
        <v>43319</v>
      </c>
      <c r="G299" s="546">
        <v>59836.61</v>
      </c>
      <c r="H299" s="547">
        <f t="shared" si="40"/>
        <v>1.381301738267273</v>
      </c>
    </row>
    <row r="300" spans="1:8" ht="63" customHeight="1" thickBot="1">
      <c r="A300" s="864"/>
      <c r="B300" s="1053"/>
      <c r="C300" s="653" t="s">
        <v>548</v>
      </c>
      <c r="D300" s="4406"/>
      <c r="E300" s="600">
        <v>17000</v>
      </c>
      <c r="F300" s="600">
        <v>17000</v>
      </c>
      <c r="G300" s="601">
        <v>17000</v>
      </c>
      <c r="H300" s="602">
        <f t="shared" si="40"/>
        <v>1</v>
      </c>
    </row>
    <row r="301" spans="1:8" ht="63" hidden="1" customHeight="1">
      <c r="A301" s="836"/>
      <c r="B301" s="678"/>
      <c r="C301" s="1062" t="s">
        <v>549</v>
      </c>
      <c r="D301" s="1063">
        <v>2710</v>
      </c>
      <c r="E301" s="687">
        <v>0</v>
      </c>
      <c r="F301" s="687">
        <v>0</v>
      </c>
      <c r="G301" s="688">
        <v>0</v>
      </c>
      <c r="H301" s="689" t="e">
        <f t="shared" si="40"/>
        <v>#DIV/0!</v>
      </c>
    </row>
    <row r="302" spans="1:8" ht="63.75">
      <c r="A302" s="870"/>
      <c r="B302" s="1055"/>
      <c r="C302" s="1064" t="s">
        <v>550</v>
      </c>
      <c r="D302" s="1065">
        <v>2918</v>
      </c>
      <c r="E302" s="738">
        <v>0</v>
      </c>
      <c r="F302" s="738">
        <v>16362</v>
      </c>
      <c r="G302" s="739">
        <v>16362</v>
      </c>
      <c r="H302" s="740">
        <f t="shared" si="40"/>
        <v>1</v>
      </c>
    </row>
    <row r="303" spans="1:8" ht="63.75">
      <c r="A303" s="836"/>
      <c r="B303" s="572"/>
      <c r="C303" s="1066" t="s">
        <v>550</v>
      </c>
      <c r="D303" s="657">
        <v>2919</v>
      </c>
      <c r="E303" s="557">
        <v>0</v>
      </c>
      <c r="F303" s="557">
        <v>2888</v>
      </c>
      <c r="G303" s="558">
        <v>2888</v>
      </c>
      <c r="H303" s="559">
        <f t="shared" si="40"/>
        <v>1</v>
      </c>
    </row>
    <row r="304" spans="1:8">
      <c r="A304" s="836"/>
      <c r="B304" s="4386" t="s">
        <v>416</v>
      </c>
      <c r="C304" s="4392"/>
      <c r="D304" s="1067"/>
      <c r="E304" s="551">
        <f>SUM(E305:E312)</f>
        <v>2615189</v>
      </c>
      <c r="F304" s="551">
        <f>SUM(F305:F312)</f>
        <v>2167874</v>
      </c>
      <c r="G304" s="552">
        <f>SUM(G305:G312)</f>
        <v>1084394.1499999999</v>
      </c>
      <c r="H304" s="553">
        <f>G304/F304</f>
        <v>0.50021087480176429</v>
      </c>
    </row>
    <row r="305" spans="1:8" s="905" customFormat="1" ht="63.75">
      <c r="A305" s="836"/>
      <c r="B305" s="672"/>
      <c r="C305" s="1057" t="s">
        <v>534</v>
      </c>
      <c r="D305" s="650">
        <v>6207</v>
      </c>
      <c r="E305" s="1068">
        <v>1154464</v>
      </c>
      <c r="F305" s="1068">
        <v>708677</v>
      </c>
      <c r="G305" s="1069">
        <v>708676.19</v>
      </c>
      <c r="H305" s="559">
        <f t="shared" si="40"/>
        <v>0.99999885702513269</v>
      </c>
    </row>
    <row r="306" spans="1:8" ht="74.25" customHeight="1">
      <c r="A306" s="836"/>
      <c r="B306" s="678"/>
      <c r="C306" s="1057" t="s">
        <v>551</v>
      </c>
      <c r="D306" s="650">
        <v>6208</v>
      </c>
      <c r="E306" s="1068">
        <v>1071507</v>
      </c>
      <c r="F306" s="1068">
        <v>1071507</v>
      </c>
      <c r="G306" s="1069">
        <v>150552</v>
      </c>
      <c r="H306" s="559">
        <f t="shared" si="40"/>
        <v>0.14050491504021906</v>
      </c>
    </row>
    <row r="307" spans="1:8" ht="65.25" customHeight="1">
      <c r="A307" s="836"/>
      <c r="B307" s="678"/>
      <c r="C307" s="1057" t="s">
        <v>552</v>
      </c>
      <c r="D307" s="4393">
        <v>6209</v>
      </c>
      <c r="E307" s="1068">
        <v>189090</v>
      </c>
      <c r="F307" s="1068">
        <v>189090</v>
      </c>
      <c r="G307" s="1069">
        <v>26568</v>
      </c>
      <c r="H307" s="559">
        <f t="shared" ref="H307:H370" si="57">G307/F307</f>
        <v>0.1405045216563541</v>
      </c>
    </row>
    <row r="308" spans="1:8" ht="63" customHeight="1">
      <c r="A308" s="836"/>
      <c r="B308" s="678"/>
      <c r="C308" s="1057" t="s">
        <v>553</v>
      </c>
      <c r="D308" s="4394"/>
      <c r="E308" s="1068">
        <v>69912</v>
      </c>
      <c r="F308" s="1068">
        <v>42916</v>
      </c>
      <c r="G308" s="1069">
        <v>42915.91</v>
      </c>
      <c r="H308" s="559">
        <f t="shared" si="57"/>
        <v>0.99999790288004486</v>
      </c>
    </row>
    <row r="309" spans="1:8" ht="63.75" customHeight="1" thickBot="1">
      <c r="A309" s="864"/>
      <c r="B309" s="1053"/>
      <c r="C309" s="1054" t="s">
        <v>534</v>
      </c>
      <c r="D309" s="654">
        <v>6257</v>
      </c>
      <c r="E309" s="1070">
        <v>122780</v>
      </c>
      <c r="F309" s="1070">
        <v>91498</v>
      </c>
      <c r="G309" s="1071">
        <v>91497.41</v>
      </c>
      <c r="H309" s="1072">
        <f t="shared" si="57"/>
        <v>0.99999355177162341</v>
      </c>
    </row>
    <row r="310" spans="1:8" ht="63.75" customHeight="1">
      <c r="A310" s="836"/>
      <c r="B310" s="678"/>
      <c r="C310" s="1073" t="s">
        <v>553</v>
      </c>
      <c r="D310" s="657">
        <v>6259</v>
      </c>
      <c r="E310" s="557">
        <v>7436</v>
      </c>
      <c r="F310" s="557">
        <v>5541</v>
      </c>
      <c r="G310" s="558">
        <v>5540.89</v>
      </c>
      <c r="H310" s="559">
        <f t="shared" si="57"/>
        <v>0.99998014798772794</v>
      </c>
    </row>
    <row r="311" spans="1:8" ht="56.25" customHeight="1">
      <c r="A311" s="836"/>
      <c r="B311" s="678"/>
      <c r="C311" s="1073" t="s">
        <v>554</v>
      </c>
      <c r="D311" s="924">
        <v>6669</v>
      </c>
      <c r="E311" s="557">
        <v>0</v>
      </c>
      <c r="F311" s="557">
        <v>2</v>
      </c>
      <c r="G311" s="558">
        <v>1.61</v>
      </c>
      <c r="H311" s="559">
        <f t="shared" si="57"/>
        <v>0.80500000000000005</v>
      </c>
    </row>
    <row r="312" spans="1:8" ht="39" thickBot="1">
      <c r="A312" s="864"/>
      <c r="B312" s="1053"/>
      <c r="C312" s="1074" t="s">
        <v>555</v>
      </c>
      <c r="D312" s="1075">
        <v>6699</v>
      </c>
      <c r="E312" s="732">
        <v>0</v>
      </c>
      <c r="F312" s="732">
        <v>58643</v>
      </c>
      <c r="G312" s="733">
        <v>58642.14</v>
      </c>
      <c r="H312" s="559">
        <f t="shared" si="57"/>
        <v>0.99998533499309383</v>
      </c>
    </row>
    <row r="313" spans="1:8" ht="26.25" hidden="1" thickBot="1">
      <c r="A313" s="1076">
        <v>754</v>
      </c>
      <c r="B313" s="1077"/>
      <c r="C313" s="1078" t="s">
        <v>556</v>
      </c>
      <c r="D313" s="1079"/>
      <c r="E313" s="1080">
        <f>SUM(E314)</f>
        <v>0</v>
      </c>
      <c r="F313" s="1080">
        <f t="shared" ref="F313:G313" si="58">SUM(F314)</f>
        <v>0</v>
      </c>
      <c r="G313" s="1081">
        <f t="shared" si="58"/>
        <v>0</v>
      </c>
      <c r="H313" s="1082" t="e">
        <f t="shared" si="57"/>
        <v>#DIV/0!</v>
      </c>
    </row>
    <row r="314" spans="1:8" ht="29.25" hidden="1" customHeight="1" thickBot="1">
      <c r="A314" s="1083"/>
      <c r="B314" s="1084">
        <v>75421</v>
      </c>
      <c r="C314" s="1085" t="s">
        <v>99</v>
      </c>
      <c r="D314" s="1086"/>
      <c r="E314" s="1087">
        <f t="shared" ref="E314:G314" si="59">SUM(E315,E317)</f>
        <v>0</v>
      </c>
      <c r="F314" s="1087">
        <f t="shared" si="59"/>
        <v>0</v>
      </c>
      <c r="G314" s="1088">
        <f t="shared" si="59"/>
        <v>0</v>
      </c>
      <c r="H314" s="1089" t="e">
        <f t="shared" si="57"/>
        <v>#DIV/0!</v>
      </c>
    </row>
    <row r="315" spans="1:8" ht="18.75" hidden="1" customHeight="1">
      <c r="A315" s="1090"/>
      <c r="B315" s="4395" t="s">
        <v>370</v>
      </c>
      <c r="C315" s="4395"/>
      <c r="D315" s="1091"/>
      <c r="E315" s="940">
        <f>SUM(E316)</f>
        <v>0</v>
      </c>
      <c r="F315" s="940">
        <f t="shared" ref="F315:G315" si="60">SUM(F316)</f>
        <v>0</v>
      </c>
      <c r="G315" s="941">
        <f t="shared" si="60"/>
        <v>0</v>
      </c>
      <c r="H315" s="942" t="e">
        <f t="shared" si="57"/>
        <v>#DIV/0!</v>
      </c>
    </row>
    <row r="316" spans="1:8" ht="41.25" hidden="1" customHeight="1">
      <c r="A316" s="1090"/>
      <c r="B316" s="1092"/>
      <c r="C316" s="1093" t="s">
        <v>557</v>
      </c>
      <c r="D316" s="1094">
        <v>2310</v>
      </c>
      <c r="E316" s="850">
        <v>0</v>
      </c>
      <c r="F316" s="850">
        <v>0</v>
      </c>
      <c r="G316" s="851">
        <v>0</v>
      </c>
      <c r="H316" s="548" t="e">
        <f t="shared" si="57"/>
        <v>#DIV/0!</v>
      </c>
    </row>
    <row r="317" spans="1:8" ht="15.75" hidden="1" thickBot="1">
      <c r="A317" s="1090"/>
      <c r="B317" s="4396" t="s">
        <v>375</v>
      </c>
      <c r="C317" s="4396"/>
      <c r="D317" s="1095"/>
      <c r="E317" s="669">
        <v>0</v>
      </c>
      <c r="F317" s="669">
        <v>0</v>
      </c>
      <c r="G317" s="670">
        <v>0</v>
      </c>
      <c r="H317" s="671"/>
    </row>
    <row r="318" spans="1:8" ht="51.75" thickBot="1">
      <c r="A318" s="690">
        <v>756</v>
      </c>
      <c r="B318" s="1096"/>
      <c r="C318" s="692" t="s">
        <v>558</v>
      </c>
      <c r="D318" s="523"/>
      <c r="E318" s="625">
        <f>SUM(E319,E327)</f>
        <v>231302956</v>
      </c>
      <c r="F318" s="625">
        <f t="shared" ref="F318:G318" si="61">SUM(F319,F327)</f>
        <v>247000738</v>
      </c>
      <c r="G318" s="626">
        <f t="shared" si="61"/>
        <v>389364322.42000002</v>
      </c>
      <c r="H318" s="627">
        <f t="shared" si="57"/>
        <v>1.576369065018745</v>
      </c>
    </row>
    <row r="319" spans="1:8" ht="29.25" customHeight="1" thickBot="1">
      <c r="A319" s="1097"/>
      <c r="B319" s="694">
        <v>75618</v>
      </c>
      <c r="C319" s="530" t="s">
        <v>38</v>
      </c>
      <c r="D319" s="531"/>
      <c r="E319" s="532">
        <f>SUM(E320,E326)</f>
        <v>5193917</v>
      </c>
      <c r="F319" s="532">
        <f t="shared" ref="F319:G319" si="62">SUM(F320,F326)</f>
        <v>5193917</v>
      </c>
      <c r="G319" s="533">
        <f t="shared" si="62"/>
        <v>5433418.4500000002</v>
      </c>
      <c r="H319" s="534">
        <f t="shared" si="57"/>
        <v>1.0461119132246435</v>
      </c>
    </row>
    <row r="320" spans="1:8">
      <c r="A320" s="836"/>
      <c r="B320" s="4397" t="s">
        <v>370</v>
      </c>
      <c r="C320" s="4398"/>
      <c r="D320" s="1098"/>
      <c r="E320" s="537">
        <f>SUM(E321:E325)</f>
        <v>5193917</v>
      </c>
      <c r="F320" s="537">
        <f t="shared" ref="F320:G320" si="63">SUM(F321:F325)</f>
        <v>5193917</v>
      </c>
      <c r="G320" s="538">
        <f t="shared" si="63"/>
        <v>5433418.4500000002</v>
      </c>
      <c r="H320" s="744">
        <f t="shared" si="57"/>
        <v>1.0461119132246435</v>
      </c>
    </row>
    <row r="321" spans="1:8" ht="25.5" customHeight="1">
      <c r="A321" s="836"/>
      <c r="B321" s="4399"/>
      <c r="C321" s="725" t="s">
        <v>559</v>
      </c>
      <c r="D321" s="544" t="s">
        <v>560</v>
      </c>
      <c r="E321" s="545">
        <v>4637417</v>
      </c>
      <c r="F321" s="545">
        <v>4637417</v>
      </c>
      <c r="G321" s="546">
        <v>4736825.58</v>
      </c>
      <c r="H321" s="547">
        <f t="shared" si="57"/>
        <v>1.0214361960548297</v>
      </c>
    </row>
    <row r="322" spans="1:8" ht="18.75" customHeight="1">
      <c r="A322" s="836"/>
      <c r="B322" s="4400"/>
      <c r="C322" s="974" t="s">
        <v>561</v>
      </c>
      <c r="D322" s="544" t="s">
        <v>39</v>
      </c>
      <c r="E322" s="545">
        <v>536500</v>
      </c>
      <c r="F322" s="545">
        <v>536500</v>
      </c>
      <c r="G322" s="546">
        <v>575598</v>
      </c>
      <c r="H322" s="547">
        <f t="shared" si="57"/>
        <v>1.0728760484622553</v>
      </c>
    </row>
    <row r="323" spans="1:8" ht="38.25">
      <c r="A323" s="836"/>
      <c r="B323" s="4400"/>
      <c r="C323" s="622" t="s">
        <v>562</v>
      </c>
      <c r="D323" s="583" t="s">
        <v>563</v>
      </c>
      <c r="E323" s="545">
        <v>0</v>
      </c>
      <c r="F323" s="545">
        <v>0</v>
      </c>
      <c r="G323" s="546">
        <v>96991.360000000001</v>
      </c>
      <c r="H323" s="547"/>
    </row>
    <row r="324" spans="1:8" ht="51">
      <c r="A324" s="836"/>
      <c r="B324" s="4400"/>
      <c r="C324" s="727" t="s">
        <v>564</v>
      </c>
      <c r="D324" s="544" t="s">
        <v>20</v>
      </c>
      <c r="E324" s="557">
        <v>0</v>
      </c>
      <c r="F324" s="557">
        <v>0</v>
      </c>
      <c r="G324" s="558">
        <v>97.51</v>
      </c>
      <c r="H324" s="559"/>
    </row>
    <row r="325" spans="1:8" ht="27" customHeight="1">
      <c r="A325" s="836"/>
      <c r="B325" s="4401"/>
      <c r="C325" s="727" t="s">
        <v>565</v>
      </c>
      <c r="D325" s="703" t="s">
        <v>71</v>
      </c>
      <c r="E325" s="557">
        <v>20000</v>
      </c>
      <c r="F325" s="557">
        <v>20000</v>
      </c>
      <c r="G325" s="558">
        <v>23906</v>
      </c>
      <c r="H325" s="559">
        <f t="shared" si="57"/>
        <v>1.1953</v>
      </c>
    </row>
    <row r="326" spans="1:8" s="905" customFormat="1" ht="15.75" thickBot="1">
      <c r="A326" s="864"/>
      <c r="B326" s="4384" t="s">
        <v>375</v>
      </c>
      <c r="C326" s="4385"/>
      <c r="D326" s="576"/>
      <c r="E326" s="750">
        <v>0</v>
      </c>
      <c r="F326" s="750">
        <v>0</v>
      </c>
      <c r="G326" s="751">
        <v>0</v>
      </c>
      <c r="H326" s="752"/>
    </row>
    <row r="327" spans="1:8" ht="26.25" thickBot="1">
      <c r="A327" s="836"/>
      <c r="B327" s="968">
        <v>75623</v>
      </c>
      <c r="C327" s="922" t="s">
        <v>566</v>
      </c>
      <c r="D327" s="970"/>
      <c r="E327" s="1099">
        <f t="shared" ref="E327:G327" si="64">SUM(E328,E331)</f>
        <v>226109039</v>
      </c>
      <c r="F327" s="1099">
        <f t="shared" si="64"/>
        <v>241806821</v>
      </c>
      <c r="G327" s="1100">
        <f t="shared" si="64"/>
        <v>383930903.97000003</v>
      </c>
      <c r="H327" s="1101">
        <f t="shared" si="57"/>
        <v>1.5877587835704603</v>
      </c>
    </row>
    <row r="328" spans="1:8">
      <c r="A328" s="836"/>
      <c r="B328" s="4386" t="s">
        <v>370</v>
      </c>
      <c r="C328" s="4387"/>
      <c r="D328" s="1102"/>
      <c r="E328" s="537">
        <f>SUM(E329:E330)</f>
        <v>226109039</v>
      </c>
      <c r="F328" s="537">
        <f t="shared" ref="F328:G328" si="65">SUM(F329:F330)</f>
        <v>241806821</v>
      </c>
      <c r="G328" s="538">
        <f t="shared" si="65"/>
        <v>383930903.97000003</v>
      </c>
      <c r="H328" s="744">
        <f t="shared" si="57"/>
        <v>1.5877587835704603</v>
      </c>
    </row>
    <row r="329" spans="1:8" ht="15" customHeight="1">
      <c r="A329" s="836"/>
      <c r="B329" s="4388"/>
      <c r="C329" s="974" t="s">
        <v>567</v>
      </c>
      <c r="D329" s="544" t="s">
        <v>568</v>
      </c>
      <c r="E329" s="545">
        <v>60869039</v>
      </c>
      <c r="F329" s="545">
        <v>60869039</v>
      </c>
      <c r="G329" s="546">
        <v>74030592</v>
      </c>
      <c r="H329" s="547">
        <f t="shared" si="57"/>
        <v>1.2162273828571533</v>
      </c>
    </row>
    <row r="330" spans="1:8" ht="20.25" customHeight="1">
      <c r="A330" s="836"/>
      <c r="B330" s="4389"/>
      <c r="C330" s="974" t="s">
        <v>569</v>
      </c>
      <c r="D330" s="544" t="s">
        <v>570</v>
      </c>
      <c r="E330" s="545">
        <v>165240000</v>
      </c>
      <c r="F330" s="545">
        <v>180937782</v>
      </c>
      <c r="G330" s="546">
        <v>309900311.97000003</v>
      </c>
      <c r="H330" s="547">
        <f t="shared" si="57"/>
        <v>1.7127451687785142</v>
      </c>
    </row>
    <row r="331" spans="1:8" ht="16.5" customHeight="1" thickBot="1">
      <c r="A331" s="864"/>
      <c r="B331" s="4390" t="s">
        <v>375</v>
      </c>
      <c r="C331" s="4391"/>
      <c r="D331" s="576"/>
      <c r="E331" s="750">
        <v>0</v>
      </c>
      <c r="F331" s="750">
        <v>0</v>
      </c>
      <c r="G331" s="751">
        <v>0</v>
      </c>
      <c r="H331" s="752"/>
    </row>
    <row r="332" spans="1:8" s="505" customFormat="1" ht="15.75" thickBot="1">
      <c r="A332" s="317">
        <v>758</v>
      </c>
      <c r="B332" s="1103"/>
      <c r="C332" s="1104" t="s">
        <v>571</v>
      </c>
      <c r="D332" s="1105"/>
      <c r="E332" s="525">
        <f>SUM(E333,E343,E347,E351,E359,E363,E377,E337,E355)</f>
        <v>723178058</v>
      </c>
      <c r="F332" s="525">
        <f t="shared" ref="F332:G332" si="66">SUM(F333,F343,F347,F351,F359,F363,F377,F337,F355)</f>
        <v>691865094</v>
      </c>
      <c r="G332" s="525">
        <f t="shared" si="66"/>
        <v>657200277.80999994</v>
      </c>
      <c r="H332" s="526">
        <f t="shared" si="57"/>
        <v>0.94989656727789762</v>
      </c>
    </row>
    <row r="333" spans="1:8" ht="30" customHeight="1" thickBot="1">
      <c r="A333" s="1106"/>
      <c r="B333" s="1107">
        <v>75801</v>
      </c>
      <c r="C333" s="1108" t="s">
        <v>572</v>
      </c>
      <c r="D333" s="1109"/>
      <c r="E333" s="532">
        <f t="shared" ref="E333:G333" si="67">SUM(E334,E336)</f>
        <v>32798893</v>
      </c>
      <c r="F333" s="532">
        <f t="shared" si="67"/>
        <v>34549694</v>
      </c>
      <c r="G333" s="533">
        <f t="shared" si="67"/>
        <v>34549694</v>
      </c>
      <c r="H333" s="534">
        <f t="shared" si="57"/>
        <v>1</v>
      </c>
    </row>
    <row r="334" spans="1:8" ht="16.5" customHeight="1">
      <c r="A334" s="1110"/>
      <c r="B334" s="4298" t="s">
        <v>370</v>
      </c>
      <c r="C334" s="4298"/>
      <c r="D334" s="1111"/>
      <c r="E334" s="537">
        <f>SUM(E335)</f>
        <v>32798893</v>
      </c>
      <c r="F334" s="537">
        <f t="shared" ref="F334:G334" si="68">SUM(F335)</f>
        <v>34549694</v>
      </c>
      <c r="G334" s="538">
        <f t="shared" si="68"/>
        <v>34549694</v>
      </c>
      <c r="H334" s="744">
        <f t="shared" si="57"/>
        <v>1</v>
      </c>
    </row>
    <row r="335" spans="1:8" ht="15" customHeight="1">
      <c r="A335" s="1110"/>
      <c r="B335" s="1112"/>
      <c r="C335" s="1113" t="s">
        <v>573</v>
      </c>
      <c r="D335" s="1114">
        <v>2920</v>
      </c>
      <c r="E335" s="545">
        <v>32798893</v>
      </c>
      <c r="F335" s="545">
        <v>34549694</v>
      </c>
      <c r="G335" s="546">
        <v>34549694</v>
      </c>
      <c r="H335" s="547">
        <f t="shared" si="57"/>
        <v>1</v>
      </c>
    </row>
    <row r="336" spans="1:8" ht="15.75" thickBot="1">
      <c r="A336" s="1110"/>
      <c r="B336" s="4301" t="s">
        <v>375</v>
      </c>
      <c r="C336" s="4301"/>
      <c r="D336" s="1115"/>
      <c r="E336" s="750">
        <v>0</v>
      </c>
      <c r="F336" s="750">
        <v>0</v>
      </c>
      <c r="G336" s="751">
        <v>0</v>
      </c>
      <c r="H336" s="752"/>
    </row>
    <row r="337" spans="1:8" ht="26.25" thickBot="1">
      <c r="A337" s="1110"/>
      <c r="B337" s="1107">
        <v>75802</v>
      </c>
      <c r="C337" s="1108" t="s">
        <v>574</v>
      </c>
      <c r="D337" s="1109"/>
      <c r="E337" s="532">
        <f>E338+E341</f>
        <v>20664835</v>
      </c>
      <c r="F337" s="532">
        <f>F338+F341</f>
        <v>12763451</v>
      </c>
      <c r="G337" s="533">
        <f>G338+G341</f>
        <v>12763451</v>
      </c>
      <c r="H337" s="534">
        <f t="shared" si="57"/>
        <v>1</v>
      </c>
    </row>
    <row r="338" spans="1:8" s="1118" customFormat="1">
      <c r="A338" s="1110"/>
      <c r="B338" s="4263" t="s">
        <v>370</v>
      </c>
      <c r="C338" s="4264"/>
      <c r="D338" s="1116"/>
      <c r="E338" s="561">
        <f>SUM(E339:E340)</f>
        <v>20664835</v>
      </c>
      <c r="F338" s="561">
        <f>SUM(F339:F340)</f>
        <v>9906816</v>
      </c>
      <c r="G338" s="1117">
        <f>SUM(G339:G340)</f>
        <v>9906816</v>
      </c>
      <c r="H338" s="744">
        <f t="shared" si="57"/>
        <v>1</v>
      </c>
    </row>
    <row r="339" spans="1:8" ht="38.25">
      <c r="A339" s="1110"/>
      <c r="B339" s="4381"/>
      <c r="C339" s="1119" t="s">
        <v>575</v>
      </c>
      <c r="D339" s="1120">
        <v>2770</v>
      </c>
      <c r="E339" s="876">
        <v>20664835</v>
      </c>
      <c r="F339" s="557">
        <v>9906816</v>
      </c>
      <c r="G339" s="1121">
        <v>9906816</v>
      </c>
      <c r="H339" s="547">
        <f t="shared" si="57"/>
        <v>1</v>
      </c>
    </row>
    <row r="340" spans="1:8" ht="38.25" hidden="1" customHeight="1">
      <c r="A340" s="1110"/>
      <c r="B340" s="4335"/>
      <c r="C340" s="1122" t="s">
        <v>576</v>
      </c>
      <c r="D340" s="1123">
        <v>2920</v>
      </c>
      <c r="E340" s="545">
        <v>0</v>
      </c>
      <c r="F340" s="545">
        <v>0</v>
      </c>
      <c r="G340" s="1124">
        <v>0</v>
      </c>
      <c r="H340" s="559"/>
    </row>
    <row r="341" spans="1:8">
      <c r="A341" s="1110"/>
      <c r="B341" s="4382" t="s">
        <v>416</v>
      </c>
      <c r="C341" s="4383"/>
      <c r="D341" s="1125"/>
      <c r="E341" s="646">
        <f t="shared" ref="E341" si="69">E342</f>
        <v>0</v>
      </c>
      <c r="F341" s="646">
        <f>F342</f>
        <v>2856635</v>
      </c>
      <c r="G341" s="1126">
        <f>G342</f>
        <v>2856635</v>
      </c>
      <c r="H341" s="553">
        <f t="shared" si="57"/>
        <v>1</v>
      </c>
    </row>
    <row r="342" spans="1:8" ht="64.5" thickBot="1">
      <c r="A342" s="1110"/>
      <c r="B342" s="1127"/>
      <c r="C342" s="1128" t="s">
        <v>577</v>
      </c>
      <c r="D342" s="1129">
        <v>6180</v>
      </c>
      <c r="E342" s="732">
        <v>0</v>
      </c>
      <c r="F342" s="732">
        <v>2856635</v>
      </c>
      <c r="G342" s="1130">
        <v>2856635</v>
      </c>
      <c r="H342" s="1072">
        <f t="shared" si="57"/>
        <v>1</v>
      </c>
    </row>
    <row r="343" spans="1:8" ht="15.75" thickBot="1">
      <c r="A343" s="1110"/>
      <c r="B343" s="1107">
        <v>75804</v>
      </c>
      <c r="C343" s="1108" t="s">
        <v>578</v>
      </c>
      <c r="D343" s="1109"/>
      <c r="E343" s="605">
        <f t="shared" ref="E343:G343" si="70">SUM(E344,E346)</f>
        <v>221512354</v>
      </c>
      <c r="F343" s="605">
        <f t="shared" si="70"/>
        <v>221512354</v>
      </c>
      <c r="G343" s="606">
        <f t="shared" si="70"/>
        <v>221512354</v>
      </c>
      <c r="H343" s="607">
        <f t="shared" si="57"/>
        <v>1</v>
      </c>
    </row>
    <row r="344" spans="1:8">
      <c r="A344" s="1110"/>
      <c r="B344" s="4298" t="s">
        <v>370</v>
      </c>
      <c r="C344" s="4298"/>
      <c r="D344" s="1111"/>
      <c r="E344" s="537">
        <f>SUM(E345)</f>
        <v>221512354</v>
      </c>
      <c r="F344" s="537">
        <f>SUM(F345)</f>
        <v>221512354</v>
      </c>
      <c r="G344" s="538">
        <f>SUM(G345)</f>
        <v>221512354</v>
      </c>
      <c r="H344" s="744">
        <f t="shared" si="57"/>
        <v>1</v>
      </c>
    </row>
    <row r="345" spans="1:8">
      <c r="A345" s="1110"/>
      <c r="B345" s="1131"/>
      <c r="C345" s="1132" t="s">
        <v>573</v>
      </c>
      <c r="D345" s="1133">
        <v>2920</v>
      </c>
      <c r="E345" s="590">
        <v>221512354</v>
      </c>
      <c r="F345" s="590">
        <v>221512354</v>
      </c>
      <c r="G345" s="591">
        <v>221512354</v>
      </c>
      <c r="H345" s="592">
        <f t="shared" si="57"/>
        <v>1</v>
      </c>
    </row>
    <row r="346" spans="1:8" ht="15.75" thickBot="1">
      <c r="A346" s="1110"/>
      <c r="B346" s="4268" t="s">
        <v>375</v>
      </c>
      <c r="C346" s="4301"/>
      <c r="D346" s="1115"/>
      <c r="E346" s="577">
        <v>0</v>
      </c>
      <c r="F346" s="577">
        <v>0</v>
      </c>
      <c r="G346" s="578">
        <v>0</v>
      </c>
      <c r="H346" s="579"/>
    </row>
    <row r="347" spans="1:8" ht="15" customHeight="1" thickBot="1">
      <c r="A347" s="1110"/>
      <c r="B347" s="1134">
        <v>75814</v>
      </c>
      <c r="C347" s="1108" t="s">
        <v>579</v>
      </c>
      <c r="D347" s="1109"/>
      <c r="E347" s="605">
        <f t="shared" ref="E347:G347" si="71">SUM(E348,E350)</f>
        <v>0</v>
      </c>
      <c r="F347" s="605">
        <f t="shared" si="71"/>
        <v>0</v>
      </c>
      <c r="G347" s="606">
        <f t="shared" si="71"/>
        <v>128197.44</v>
      </c>
      <c r="H347" s="607"/>
    </row>
    <row r="348" spans="1:8" ht="15.75" customHeight="1">
      <c r="A348" s="1110"/>
      <c r="B348" s="4298" t="s">
        <v>370</v>
      </c>
      <c r="C348" s="4298"/>
      <c r="D348" s="1111"/>
      <c r="E348" s="537">
        <f>SUM(E349)</f>
        <v>0</v>
      </c>
      <c r="F348" s="537">
        <f t="shared" ref="F348:G348" si="72">SUM(F349)</f>
        <v>0</v>
      </c>
      <c r="G348" s="538">
        <f t="shared" si="72"/>
        <v>128197.44</v>
      </c>
      <c r="H348" s="744"/>
    </row>
    <row r="349" spans="1:8" ht="26.25" customHeight="1">
      <c r="A349" s="1110"/>
      <c r="B349" s="1112"/>
      <c r="C349" s="1135" t="s">
        <v>580</v>
      </c>
      <c r="D349" s="1136" t="s">
        <v>386</v>
      </c>
      <c r="E349" s="545">
        <v>0</v>
      </c>
      <c r="F349" s="545">
        <v>0</v>
      </c>
      <c r="G349" s="546">
        <v>128197.44</v>
      </c>
      <c r="H349" s="547"/>
    </row>
    <row r="350" spans="1:8" ht="15.75" customHeight="1" thickBot="1">
      <c r="A350" s="1137"/>
      <c r="B350" s="4301" t="s">
        <v>375</v>
      </c>
      <c r="C350" s="4301"/>
      <c r="D350" s="1115"/>
      <c r="E350" s="750">
        <v>0</v>
      </c>
      <c r="F350" s="750">
        <v>0</v>
      </c>
      <c r="G350" s="751">
        <v>0</v>
      </c>
      <c r="H350" s="752"/>
    </row>
    <row r="351" spans="1:8" ht="15.75" hidden="1" customHeight="1" thickBot="1">
      <c r="A351" s="1110"/>
      <c r="B351" s="1138">
        <v>75816</v>
      </c>
      <c r="C351" s="1139" t="s">
        <v>581</v>
      </c>
      <c r="D351" s="1140"/>
      <c r="E351" s="840">
        <f>SUM(E352,E353)</f>
        <v>0</v>
      </c>
      <c r="F351" s="840">
        <f>SUM(F352,F353)</f>
        <v>0</v>
      </c>
      <c r="G351" s="841">
        <f>SUM(G352,G353)</f>
        <v>0</v>
      </c>
      <c r="H351" s="842"/>
    </row>
    <row r="352" spans="1:8" ht="15.75" hidden="1" customHeight="1">
      <c r="A352" s="1110"/>
      <c r="B352" s="4379" t="s">
        <v>582</v>
      </c>
      <c r="C352" s="4379"/>
      <c r="D352" s="1091"/>
      <c r="E352" s="1141">
        <v>0</v>
      </c>
      <c r="F352" s="1141">
        <v>0</v>
      </c>
      <c r="G352" s="1142">
        <v>0</v>
      </c>
      <c r="H352" s="942"/>
    </row>
    <row r="353" spans="1:8" ht="15.75" hidden="1" customHeight="1">
      <c r="A353" s="1110"/>
      <c r="B353" s="4380" t="s">
        <v>416</v>
      </c>
      <c r="C353" s="4380"/>
      <c r="D353" s="1095"/>
      <c r="E353" s="669">
        <f>SUM(E354)</f>
        <v>0</v>
      </c>
      <c r="F353" s="669">
        <f t="shared" ref="F353:G353" si="73">SUM(F354)</f>
        <v>0</v>
      </c>
      <c r="G353" s="670">
        <f t="shared" si="73"/>
        <v>0</v>
      </c>
      <c r="H353" s="1143"/>
    </row>
    <row r="354" spans="1:8" s="905" customFormat="1" ht="54.75" hidden="1" customHeight="1" thickBot="1">
      <c r="A354" s="1110"/>
      <c r="B354" s="1144"/>
      <c r="C354" s="1145" t="s">
        <v>583</v>
      </c>
      <c r="D354" s="1146" t="s">
        <v>584</v>
      </c>
      <c r="E354" s="1147">
        <v>0</v>
      </c>
      <c r="F354" s="1147">
        <v>0</v>
      </c>
      <c r="G354" s="1148">
        <v>0</v>
      </c>
      <c r="H354" s="1149"/>
    </row>
    <row r="355" spans="1:8" s="905" customFormat="1" ht="15" customHeight="1" thickBot="1">
      <c r="A355" s="1106"/>
      <c r="B355" s="1134">
        <v>75819</v>
      </c>
      <c r="C355" s="1108" t="s">
        <v>585</v>
      </c>
      <c r="D355" s="1109"/>
      <c r="E355" s="605">
        <f t="shared" ref="E355:G355" si="74">SUM(E356,E358)</f>
        <v>0</v>
      </c>
      <c r="F355" s="605">
        <f t="shared" si="74"/>
        <v>20664835</v>
      </c>
      <c r="G355" s="606">
        <f t="shared" si="74"/>
        <v>20664835</v>
      </c>
      <c r="H355" s="607">
        <f t="shared" ref="H355:H357" si="75">G355/F355</f>
        <v>1</v>
      </c>
    </row>
    <row r="356" spans="1:8" s="905" customFormat="1" ht="15" customHeight="1">
      <c r="A356" s="1110"/>
      <c r="B356" s="4298" t="s">
        <v>370</v>
      </c>
      <c r="C356" s="4298"/>
      <c r="D356" s="1111"/>
      <c r="E356" s="537">
        <f>SUM(E357)</f>
        <v>0</v>
      </c>
      <c r="F356" s="537">
        <f t="shared" ref="F356:G356" si="76">SUM(F357)</f>
        <v>20664835</v>
      </c>
      <c r="G356" s="538">
        <f t="shared" si="76"/>
        <v>20664835</v>
      </c>
      <c r="H356" s="744">
        <f t="shared" si="75"/>
        <v>1</v>
      </c>
    </row>
    <row r="357" spans="1:8" s="905" customFormat="1" ht="38.25">
      <c r="A357" s="1110"/>
      <c r="B357" s="1112"/>
      <c r="C357" s="1150" t="s">
        <v>586</v>
      </c>
      <c r="D357" s="1136" t="s">
        <v>587</v>
      </c>
      <c r="E357" s="545">
        <v>0</v>
      </c>
      <c r="F357" s="545">
        <v>20664835</v>
      </c>
      <c r="G357" s="546">
        <v>20664835</v>
      </c>
      <c r="H357" s="547">
        <f t="shared" si="75"/>
        <v>1</v>
      </c>
    </row>
    <row r="358" spans="1:8" s="905" customFormat="1" ht="15" customHeight="1" thickBot="1">
      <c r="A358" s="1110"/>
      <c r="B358" s="4302" t="s">
        <v>375</v>
      </c>
      <c r="C358" s="4302"/>
      <c r="D358" s="1151"/>
      <c r="E358" s="635">
        <v>0</v>
      </c>
      <c r="F358" s="635">
        <v>0</v>
      </c>
      <c r="G358" s="636">
        <v>0</v>
      </c>
      <c r="H358" s="637"/>
    </row>
    <row r="359" spans="1:8" s="905" customFormat="1" ht="15" customHeight="1" thickBot="1">
      <c r="A359" s="1110"/>
      <c r="B359" s="1107">
        <v>75833</v>
      </c>
      <c r="C359" s="1108" t="s">
        <v>588</v>
      </c>
      <c r="D359" s="1109"/>
      <c r="E359" s="532">
        <f t="shared" ref="E359:G359" si="77">SUM(E360,E362)</f>
        <v>76075817</v>
      </c>
      <c r="F359" s="532">
        <f t="shared" si="77"/>
        <v>84528686</v>
      </c>
      <c r="G359" s="533">
        <f t="shared" si="77"/>
        <v>84528686</v>
      </c>
      <c r="H359" s="534">
        <f t="shared" si="57"/>
        <v>1</v>
      </c>
    </row>
    <row r="360" spans="1:8" s="905" customFormat="1" ht="15" customHeight="1">
      <c r="A360" s="1110"/>
      <c r="B360" s="4298" t="s">
        <v>370</v>
      </c>
      <c r="C360" s="4332"/>
      <c r="D360" s="1152"/>
      <c r="E360" s="537">
        <f>SUM(E361)</f>
        <v>76075817</v>
      </c>
      <c r="F360" s="537">
        <f t="shared" ref="F360:G360" si="78">SUM(F361)</f>
        <v>84528686</v>
      </c>
      <c r="G360" s="538">
        <f t="shared" si="78"/>
        <v>84528686</v>
      </c>
      <c r="H360" s="744">
        <f t="shared" si="57"/>
        <v>1</v>
      </c>
    </row>
    <row r="361" spans="1:8" ht="15" customHeight="1">
      <c r="A361" s="1110"/>
      <c r="B361" s="1112"/>
      <c r="C361" s="1153" t="s">
        <v>573</v>
      </c>
      <c r="D361" s="1136" t="s">
        <v>589</v>
      </c>
      <c r="E361" s="545">
        <v>76075817</v>
      </c>
      <c r="F361" s="545">
        <v>84528686</v>
      </c>
      <c r="G361" s="546">
        <v>84528686</v>
      </c>
      <c r="H361" s="547">
        <f t="shared" si="57"/>
        <v>1</v>
      </c>
    </row>
    <row r="362" spans="1:8" ht="15" customHeight="1" thickBot="1">
      <c r="A362" s="1110"/>
      <c r="B362" s="4301" t="s">
        <v>375</v>
      </c>
      <c r="C362" s="4369"/>
      <c r="D362" s="1154"/>
      <c r="E362" s="750">
        <v>0</v>
      </c>
      <c r="F362" s="750">
        <v>0</v>
      </c>
      <c r="G362" s="751">
        <v>0</v>
      </c>
      <c r="H362" s="752"/>
    </row>
    <row r="363" spans="1:8" ht="39" thickBot="1">
      <c r="A363" s="1110"/>
      <c r="B363" s="1107">
        <v>75863</v>
      </c>
      <c r="C363" s="1108" t="s">
        <v>590</v>
      </c>
      <c r="D363" s="1109"/>
      <c r="E363" s="605">
        <f>SUM(E364,E370)</f>
        <v>263621341</v>
      </c>
      <c r="F363" s="605">
        <f>SUM(F364,F370)</f>
        <v>247017714</v>
      </c>
      <c r="G363" s="606">
        <f>SUM(G364,G370)</f>
        <v>218729856.66999996</v>
      </c>
      <c r="H363" s="607">
        <f t="shared" si="57"/>
        <v>0.8854824746293295</v>
      </c>
    </row>
    <row r="364" spans="1:8" s="905" customFormat="1" ht="15" customHeight="1">
      <c r="A364" s="1110"/>
      <c r="B364" s="4263" t="s">
        <v>370</v>
      </c>
      <c r="C364" s="4264"/>
      <c r="D364" s="1155"/>
      <c r="E364" s="561">
        <f>SUM(E365:E369)</f>
        <v>59128591</v>
      </c>
      <c r="F364" s="561">
        <f>SUM(F365:F369)</f>
        <v>56580533</v>
      </c>
      <c r="G364" s="562">
        <f>SUM(G365:G369)</f>
        <v>45946509.670000002</v>
      </c>
      <c r="H364" s="539">
        <f t="shared" si="57"/>
        <v>0.8120550873919834</v>
      </c>
    </row>
    <row r="365" spans="1:8" ht="40.5" customHeight="1">
      <c r="A365" s="1110"/>
      <c r="B365" s="4299"/>
      <c r="C365" s="1156" t="s">
        <v>591</v>
      </c>
      <c r="D365" s="4322">
        <v>2007</v>
      </c>
      <c r="E365" s="557">
        <v>41876703</v>
      </c>
      <c r="F365" s="557">
        <v>37451923</v>
      </c>
      <c r="G365" s="956">
        <v>29416441.59</v>
      </c>
      <c r="H365" s="559">
        <f t="shared" si="57"/>
        <v>0.78544542532569017</v>
      </c>
    </row>
    <row r="366" spans="1:8" ht="50.25" hidden="1" customHeight="1">
      <c r="A366" s="1110"/>
      <c r="B366" s="4326"/>
      <c r="C366" s="1157" t="s">
        <v>592</v>
      </c>
      <c r="D366" s="4323"/>
      <c r="E366" s="566">
        <v>0</v>
      </c>
      <c r="F366" s="566">
        <v>0</v>
      </c>
      <c r="G366" s="1158">
        <v>0</v>
      </c>
      <c r="H366" s="568" t="e">
        <f t="shared" si="57"/>
        <v>#DIV/0!</v>
      </c>
    </row>
    <row r="367" spans="1:8" ht="54.75" hidden="1" customHeight="1">
      <c r="A367" s="1110"/>
      <c r="B367" s="4326"/>
      <c r="C367" s="1135" t="s">
        <v>593</v>
      </c>
      <c r="D367" s="1159">
        <v>2009</v>
      </c>
      <c r="E367" s="545">
        <v>0</v>
      </c>
      <c r="F367" s="545">
        <v>0</v>
      </c>
      <c r="G367" s="542">
        <v>0</v>
      </c>
      <c r="H367" s="547" t="e">
        <f t="shared" si="57"/>
        <v>#DIV/0!</v>
      </c>
    </row>
    <row r="368" spans="1:8" ht="40.5" customHeight="1">
      <c r="A368" s="1110"/>
      <c r="B368" s="4326"/>
      <c r="C368" s="1135" t="s">
        <v>591</v>
      </c>
      <c r="D368" s="4322">
        <v>2057</v>
      </c>
      <c r="E368" s="545">
        <v>17251888</v>
      </c>
      <c r="F368" s="545">
        <v>17722800</v>
      </c>
      <c r="G368" s="542">
        <v>15120522.99</v>
      </c>
      <c r="H368" s="559">
        <f t="shared" si="57"/>
        <v>0.85316783973187083</v>
      </c>
    </row>
    <row r="369" spans="1:75" ht="50.25" customHeight="1">
      <c r="A369" s="1110"/>
      <c r="B369" s="4300"/>
      <c r="C369" s="1135" t="s">
        <v>592</v>
      </c>
      <c r="D369" s="4325"/>
      <c r="E369" s="545">
        <v>0</v>
      </c>
      <c r="F369" s="545">
        <v>1405810</v>
      </c>
      <c r="G369" s="542">
        <v>1409545.09</v>
      </c>
      <c r="H369" s="559">
        <f t="shared" si="57"/>
        <v>1.0026568953130224</v>
      </c>
    </row>
    <row r="370" spans="1:75" ht="15" customHeight="1">
      <c r="A370" s="1110"/>
      <c r="B370" s="4310" t="s">
        <v>416</v>
      </c>
      <c r="C370" s="4378"/>
      <c r="D370" s="1160"/>
      <c r="E370" s="551">
        <f>SUM(E371:E376)</f>
        <v>204492750</v>
      </c>
      <c r="F370" s="551">
        <f>SUM(F371:F376)</f>
        <v>190437181</v>
      </c>
      <c r="G370" s="552">
        <f>SUM(G371:G376)</f>
        <v>172783346.99999997</v>
      </c>
      <c r="H370" s="553">
        <f t="shared" si="57"/>
        <v>0.90729838623267567</v>
      </c>
    </row>
    <row r="371" spans="1:75" ht="40.5" customHeight="1">
      <c r="A371" s="1110"/>
      <c r="B371" s="1161"/>
      <c r="C371" s="1162" t="s">
        <v>591</v>
      </c>
      <c r="D371" s="1159">
        <v>6207</v>
      </c>
      <c r="E371" s="590">
        <v>3301439</v>
      </c>
      <c r="F371" s="590">
        <v>17780575</v>
      </c>
      <c r="G371" s="1069">
        <v>13568778.52</v>
      </c>
      <c r="H371" s="592">
        <f t="shared" ref="H371:H378" si="79">G371/F371</f>
        <v>0.76312371900233822</v>
      </c>
    </row>
    <row r="372" spans="1:75" s="905" customFormat="1" ht="40.5" customHeight="1" thickBot="1">
      <c r="A372" s="1137"/>
      <c r="B372" s="1163"/>
      <c r="C372" s="1164" t="s">
        <v>594</v>
      </c>
      <c r="D372" s="1165">
        <v>6209</v>
      </c>
      <c r="E372" s="600">
        <v>17905000</v>
      </c>
      <c r="F372" s="600">
        <v>15000000</v>
      </c>
      <c r="G372" s="1071">
        <v>12802262.050000001</v>
      </c>
      <c r="H372" s="602">
        <f t="shared" si="79"/>
        <v>0.85348413666666667</v>
      </c>
      <c r="I372" s="527"/>
      <c r="J372" s="527"/>
      <c r="K372" s="527"/>
      <c r="L372" s="527"/>
      <c r="M372" s="527"/>
      <c r="N372" s="527"/>
      <c r="O372" s="527"/>
      <c r="P372" s="527"/>
      <c r="Q372" s="527"/>
      <c r="R372" s="527"/>
      <c r="S372" s="527"/>
      <c r="T372" s="527"/>
    </row>
    <row r="373" spans="1:75" s="905" customFormat="1" ht="40.5" customHeight="1">
      <c r="A373" s="1110"/>
      <c r="B373" s="1166"/>
      <c r="C373" s="1167" t="s">
        <v>591</v>
      </c>
      <c r="D373" s="4323">
        <v>6257</v>
      </c>
      <c r="E373" s="557">
        <v>181807311</v>
      </c>
      <c r="F373" s="557">
        <v>156177606</v>
      </c>
      <c r="G373" s="956">
        <v>137737919.19</v>
      </c>
      <c r="H373" s="559">
        <f t="shared" si="79"/>
        <v>0.8819313006373013</v>
      </c>
      <c r="I373" s="527"/>
      <c r="J373" s="527"/>
      <c r="K373" s="527"/>
      <c r="L373" s="527"/>
      <c r="M373" s="527"/>
      <c r="N373" s="527"/>
      <c r="O373" s="527"/>
      <c r="P373" s="527"/>
      <c r="Q373" s="527"/>
      <c r="R373" s="527"/>
      <c r="S373" s="527"/>
      <c r="T373" s="527"/>
    </row>
    <row r="374" spans="1:75" s="905" customFormat="1" ht="51" customHeight="1">
      <c r="A374" s="1110"/>
      <c r="B374" s="1166"/>
      <c r="C374" s="1168" t="s">
        <v>592</v>
      </c>
      <c r="D374" s="4325"/>
      <c r="E374" s="590">
        <v>1479000</v>
      </c>
      <c r="F374" s="590">
        <v>1479000</v>
      </c>
      <c r="G374" s="1069">
        <v>8419748.3499999996</v>
      </c>
      <c r="H374" s="568">
        <f t="shared" si="79"/>
        <v>5.6928656862745095</v>
      </c>
      <c r="I374" s="527"/>
      <c r="J374" s="527"/>
      <c r="K374" s="527"/>
      <c r="L374" s="527"/>
      <c r="M374" s="527"/>
      <c r="N374" s="527"/>
      <c r="O374" s="527"/>
      <c r="P374" s="527"/>
      <c r="Q374" s="527"/>
      <c r="R374" s="527"/>
      <c r="S374" s="527"/>
      <c r="T374" s="527"/>
    </row>
    <row r="375" spans="1:75" ht="51.75" hidden="1" customHeight="1">
      <c r="A375" s="1110"/>
      <c r="B375" s="1166"/>
      <c r="C375" s="1168" t="s">
        <v>595</v>
      </c>
      <c r="D375" s="4322">
        <v>6259</v>
      </c>
      <c r="E375" s="590">
        <v>0</v>
      </c>
      <c r="F375" s="590">
        <v>0</v>
      </c>
      <c r="G375" s="1069">
        <v>0</v>
      </c>
      <c r="H375" s="547" t="e">
        <f t="shared" si="79"/>
        <v>#DIV/0!</v>
      </c>
    </row>
    <row r="376" spans="1:75" ht="62.25" customHeight="1" thickBot="1">
      <c r="A376" s="1110"/>
      <c r="B376" s="1163"/>
      <c r="C376" s="1169" t="s">
        <v>596</v>
      </c>
      <c r="D376" s="4324"/>
      <c r="E376" s="600">
        <v>0</v>
      </c>
      <c r="F376" s="600">
        <v>0</v>
      </c>
      <c r="G376" s="1071">
        <v>254638.89</v>
      </c>
      <c r="H376" s="547"/>
    </row>
    <row r="377" spans="1:75" ht="27.75" customHeight="1" thickBot="1">
      <c r="A377" s="1110"/>
      <c r="B377" s="1134">
        <v>75864</v>
      </c>
      <c r="C377" s="1108" t="s">
        <v>597</v>
      </c>
      <c r="D377" s="1109"/>
      <c r="E377" s="1170">
        <f t="shared" ref="E377:G377" si="80">SUM(E378,E384)</f>
        <v>108504818</v>
      </c>
      <c r="F377" s="605">
        <f t="shared" si="80"/>
        <v>70828360</v>
      </c>
      <c r="G377" s="606">
        <f t="shared" si="80"/>
        <v>64323203.70000001</v>
      </c>
      <c r="H377" s="607">
        <f t="shared" si="79"/>
        <v>0.9081560507683647</v>
      </c>
    </row>
    <row r="378" spans="1:75" s="905" customFormat="1" ht="15" customHeight="1">
      <c r="A378" s="1110"/>
      <c r="B378" s="4263" t="s">
        <v>370</v>
      </c>
      <c r="C378" s="4264"/>
      <c r="D378" s="1111"/>
      <c r="E378" s="561">
        <f>SUM(E379:E383)</f>
        <v>77575818</v>
      </c>
      <c r="F378" s="561">
        <f t="shared" ref="F378:G378" si="81">SUM(F379:F383)</f>
        <v>69627673</v>
      </c>
      <c r="G378" s="562">
        <f t="shared" si="81"/>
        <v>63201811.890000008</v>
      </c>
      <c r="H378" s="539">
        <f t="shared" si="79"/>
        <v>0.90771110345738548</v>
      </c>
    </row>
    <row r="379" spans="1:75" s="905" customFormat="1" ht="51" hidden="1" customHeight="1">
      <c r="A379" s="1110"/>
      <c r="B379" s="4299"/>
      <c r="C379" s="1168" t="s">
        <v>591</v>
      </c>
      <c r="D379" s="1133">
        <v>2007</v>
      </c>
      <c r="E379" s="545">
        <v>0</v>
      </c>
      <c r="F379" s="545">
        <v>0</v>
      </c>
      <c r="G379" s="546">
        <v>0</v>
      </c>
      <c r="H379" s="547"/>
    </row>
    <row r="380" spans="1:75" s="905" customFormat="1" ht="51.75" customHeight="1">
      <c r="A380" s="1110"/>
      <c r="B380" s="4326"/>
      <c r="C380" s="1171" t="s">
        <v>593</v>
      </c>
      <c r="D380" s="1159">
        <v>2009</v>
      </c>
      <c r="E380" s="566">
        <v>27935781</v>
      </c>
      <c r="F380" s="566">
        <v>23867933</v>
      </c>
      <c r="G380" s="1158">
        <v>21501731.600000001</v>
      </c>
      <c r="H380" s="568">
        <f t="shared" ref="H380:H451" si="82">G380/F380</f>
        <v>0.90086274333014094</v>
      </c>
      <c r="I380" s="527"/>
      <c r="J380" s="527"/>
      <c r="K380" s="527"/>
      <c r="L380" s="527"/>
      <c r="M380" s="527"/>
      <c r="N380" s="527"/>
      <c r="O380" s="527"/>
      <c r="P380" s="527"/>
      <c r="Q380" s="527"/>
      <c r="R380" s="527"/>
      <c r="S380" s="527"/>
      <c r="T380" s="527"/>
      <c r="U380" s="527"/>
      <c r="V380" s="527"/>
      <c r="W380" s="527"/>
      <c r="X380" s="527"/>
      <c r="Y380" s="527"/>
      <c r="Z380" s="527"/>
      <c r="AA380" s="527"/>
      <c r="AB380" s="527"/>
      <c r="AC380" s="527"/>
      <c r="AD380" s="527"/>
      <c r="AE380" s="527"/>
      <c r="AF380" s="527"/>
      <c r="AG380" s="527"/>
      <c r="AH380" s="527"/>
      <c r="AI380" s="527"/>
      <c r="AJ380" s="527"/>
      <c r="AK380" s="527"/>
      <c r="AL380" s="527"/>
      <c r="AM380" s="527"/>
      <c r="AN380" s="527"/>
      <c r="AO380" s="527"/>
      <c r="AP380" s="527"/>
      <c r="AQ380" s="527"/>
      <c r="AR380" s="527"/>
      <c r="AS380" s="527"/>
      <c r="AT380" s="527"/>
      <c r="AU380" s="527"/>
      <c r="AV380" s="527"/>
      <c r="AW380" s="527"/>
      <c r="AX380" s="527"/>
      <c r="AY380" s="527"/>
      <c r="AZ380" s="527"/>
      <c r="BA380" s="527"/>
      <c r="BB380" s="527"/>
      <c r="BC380" s="527"/>
      <c r="BD380" s="527"/>
      <c r="BE380" s="527"/>
      <c r="BF380" s="527"/>
      <c r="BG380" s="527"/>
      <c r="BH380" s="527"/>
      <c r="BI380" s="527"/>
      <c r="BJ380" s="527"/>
      <c r="BK380" s="527"/>
      <c r="BL380" s="527"/>
      <c r="BM380" s="527"/>
      <c r="BN380" s="527"/>
      <c r="BO380" s="527"/>
      <c r="BP380" s="527"/>
      <c r="BQ380" s="527"/>
      <c r="BR380" s="527"/>
      <c r="BS380" s="527"/>
      <c r="BT380" s="527"/>
      <c r="BU380" s="527"/>
      <c r="BV380" s="527"/>
      <c r="BW380" s="527"/>
    </row>
    <row r="381" spans="1:75" s="905" customFormat="1" ht="40.5" customHeight="1">
      <c r="A381" s="1110"/>
      <c r="B381" s="4326"/>
      <c r="C381" s="1172" t="s">
        <v>591</v>
      </c>
      <c r="D381" s="1114">
        <v>2057</v>
      </c>
      <c r="E381" s="545">
        <v>2878409</v>
      </c>
      <c r="F381" s="545">
        <v>2495229</v>
      </c>
      <c r="G381" s="542">
        <v>2495228.5499999998</v>
      </c>
      <c r="H381" s="547">
        <f t="shared" si="82"/>
        <v>0.99999981965583107</v>
      </c>
      <c r="I381" s="527"/>
      <c r="J381" s="527"/>
      <c r="K381" s="527"/>
      <c r="L381" s="527"/>
      <c r="M381" s="527"/>
      <c r="N381" s="527"/>
      <c r="O381" s="527"/>
      <c r="P381" s="527"/>
      <c r="Q381" s="527"/>
      <c r="R381" s="527"/>
      <c r="S381" s="527"/>
      <c r="T381" s="527"/>
      <c r="U381" s="527"/>
      <c r="V381" s="527"/>
      <c r="W381" s="527"/>
      <c r="X381" s="527"/>
      <c r="Y381" s="527"/>
      <c r="Z381" s="527"/>
      <c r="AA381" s="527"/>
      <c r="AB381" s="527"/>
      <c r="AC381" s="527"/>
      <c r="AD381" s="527"/>
      <c r="AE381" s="527"/>
      <c r="AF381" s="527"/>
      <c r="AG381" s="527"/>
      <c r="AH381" s="527"/>
      <c r="AI381" s="527"/>
      <c r="AJ381" s="527"/>
      <c r="AK381" s="527"/>
      <c r="AL381" s="527"/>
      <c r="AM381" s="527"/>
      <c r="AN381" s="527"/>
      <c r="AO381" s="527"/>
      <c r="AP381" s="527"/>
      <c r="AQ381" s="527"/>
      <c r="AR381" s="527"/>
      <c r="AS381" s="527"/>
      <c r="AT381" s="527"/>
      <c r="AU381" s="527"/>
      <c r="AV381" s="527"/>
      <c r="AW381" s="527"/>
      <c r="AX381" s="527"/>
      <c r="AY381" s="527"/>
      <c r="AZ381" s="527"/>
      <c r="BA381" s="527"/>
      <c r="BB381" s="527"/>
      <c r="BC381" s="527"/>
      <c r="BD381" s="527"/>
      <c r="BE381" s="527"/>
      <c r="BF381" s="527"/>
      <c r="BG381" s="527"/>
      <c r="BH381" s="527"/>
      <c r="BI381" s="527"/>
      <c r="BJ381" s="527"/>
      <c r="BK381" s="527"/>
      <c r="BL381" s="527"/>
      <c r="BM381" s="527"/>
      <c r="BN381" s="527"/>
      <c r="BO381" s="527"/>
      <c r="BP381" s="527"/>
      <c r="BQ381" s="527"/>
      <c r="BR381" s="527"/>
      <c r="BS381" s="527"/>
      <c r="BT381" s="527"/>
      <c r="BU381" s="527"/>
      <c r="BV381" s="527"/>
      <c r="BW381" s="527"/>
    </row>
    <row r="382" spans="1:75" s="1175" customFormat="1" ht="40.5" customHeight="1">
      <c r="A382" s="1110"/>
      <c r="B382" s="4326"/>
      <c r="C382" s="1173" t="s">
        <v>598</v>
      </c>
      <c r="D382" s="1174">
        <v>2058</v>
      </c>
      <c r="E382" s="566">
        <v>46552409</v>
      </c>
      <c r="F382" s="566">
        <v>43100372</v>
      </c>
      <c r="G382" s="1158">
        <v>39040713.590000004</v>
      </c>
      <c r="H382" s="568">
        <f t="shared" si="82"/>
        <v>0.90580920252846087</v>
      </c>
      <c r="I382" s="527"/>
      <c r="J382" s="527"/>
      <c r="K382" s="527"/>
      <c r="L382" s="527"/>
      <c r="M382" s="527"/>
      <c r="N382" s="527"/>
      <c r="O382" s="527"/>
      <c r="P382" s="527"/>
      <c r="Q382" s="527"/>
      <c r="R382" s="527"/>
      <c r="S382" s="527"/>
      <c r="T382" s="527"/>
      <c r="U382" s="527"/>
      <c r="V382" s="527"/>
      <c r="W382" s="527"/>
      <c r="X382" s="527"/>
      <c r="Y382" s="527"/>
      <c r="Z382" s="527"/>
      <c r="AA382" s="527"/>
      <c r="AB382" s="527"/>
      <c r="AC382" s="527"/>
      <c r="AD382" s="527"/>
      <c r="AE382" s="527"/>
      <c r="AF382" s="527"/>
      <c r="AG382" s="527"/>
      <c r="AH382" s="527"/>
      <c r="AI382" s="527"/>
      <c r="AJ382" s="527"/>
      <c r="AK382" s="527"/>
      <c r="AL382" s="527"/>
      <c r="AM382" s="527"/>
      <c r="AN382" s="527"/>
      <c r="AO382" s="527"/>
      <c r="AP382" s="527"/>
      <c r="AQ382" s="527"/>
      <c r="AR382" s="527"/>
      <c r="AS382" s="527"/>
      <c r="AT382" s="527"/>
      <c r="AU382" s="527"/>
      <c r="AV382" s="527"/>
      <c r="AW382" s="527"/>
      <c r="AX382" s="527"/>
      <c r="AY382" s="527"/>
      <c r="AZ382" s="527"/>
      <c r="BA382" s="527"/>
      <c r="BB382" s="527"/>
      <c r="BC382" s="527"/>
      <c r="BD382" s="527"/>
      <c r="BE382" s="527"/>
      <c r="BF382" s="527"/>
      <c r="BG382" s="527"/>
      <c r="BH382" s="527"/>
      <c r="BI382" s="527"/>
      <c r="BJ382" s="527"/>
      <c r="BK382" s="527"/>
      <c r="BL382" s="527"/>
      <c r="BM382" s="527"/>
      <c r="BN382" s="527"/>
      <c r="BO382" s="527"/>
      <c r="BP382" s="527"/>
      <c r="BQ382" s="527"/>
      <c r="BR382" s="527"/>
      <c r="BS382" s="527"/>
      <c r="BT382" s="527"/>
      <c r="BU382" s="527"/>
      <c r="BV382" s="527"/>
      <c r="BW382" s="527"/>
    </row>
    <row r="383" spans="1:75" s="1177" customFormat="1" ht="40.5" customHeight="1">
      <c r="A383" s="1110"/>
      <c r="B383" s="4300"/>
      <c r="C383" s="1176" t="s">
        <v>599</v>
      </c>
      <c r="D383" s="1159">
        <v>2059</v>
      </c>
      <c r="E383" s="545">
        <v>209219</v>
      </c>
      <c r="F383" s="545">
        <v>164139</v>
      </c>
      <c r="G383" s="542">
        <v>164138.15</v>
      </c>
      <c r="H383" s="547">
        <f t="shared" si="82"/>
        <v>0.99999482146229712</v>
      </c>
      <c r="I383" s="527"/>
      <c r="J383" s="527"/>
      <c r="K383" s="527"/>
      <c r="L383" s="527"/>
      <c r="M383" s="527"/>
      <c r="N383" s="527"/>
      <c r="O383" s="527"/>
      <c r="P383" s="527"/>
      <c r="Q383" s="527"/>
      <c r="R383" s="527"/>
      <c r="S383" s="527"/>
      <c r="T383" s="527"/>
      <c r="U383" s="527"/>
      <c r="V383" s="527"/>
      <c r="W383" s="527"/>
      <c r="X383" s="527"/>
      <c r="Y383" s="527"/>
      <c r="Z383" s="527"/>
      <c r="AA383" s="527"/>
      <c r="AB383" s="527"/>
      <c r="AC383" s="527"/>
      <c r="AD383" s="527"/>
      <c r="AE383" s="527"/>
      <c r="AF383" s="527"/>
      <c r="AG383" s="527"/>
      <c r="AH383" s="527"/>
      <c r="AI383" s="527"/>
      <c r="AJ383" s="527"/>
      <c r="AK383" s="527"/>
      <c r="AL383" s="527"/>
      <c r="AM383" s="527"/>
      <c r="AN383" s="527"/>
      <c r="AO383" s="527"/>
      <c r="AP383" s="527"/>
      <c r="AQ383" s="527"/>
      <c r="AR383" s="527"/>
      <c r="AS383" s="527"/>
      <c r="AT383" s="527"/>
      <c r="AU383" s="527"/>
      <c r="AV383" s="527"/>
      <c r="AW383" s="527"/>
      <c r="AX383" s="527"/>
      <c r="AY383" s="527"/>
      <c r="AZ383" s="527"/>
      <c r="BA383" s="527"/>
      <c r="BB383" s="527"/>
      <c r="BC383" s="527"/>
      <c r="BD383" s="527"/>
      <c r="BE383" s="527"/>
      <c r="BF383" s="527"/>
      <c r="BG383" s="527"/>
      <c r="BH383" s="527"/>
      <c r="BI383" s="527"/>
      <c r="BJ383" s="527"/>
      <c r="BK383" s="527"/>
      <c r="BL383" s="527"/>
      <c r="BM383" s="527"/>
      <c r="BN383" s="527"/>
      <c r="BO383" s="527"/>
      <c r="BP383" s="527"/>
      <c r="BQ383" s="527"/>
      <c r="BR383" s="527"/>
      <c r="BS383" s="527"/>
      <c r="BT383" s="527"/>
      <c r="BU383" s="527"/>
      <c r="BV383" s="527"/>
      <c r="BW383" s="527"/>
    </row>
    <row r="384" spans="1:75">
      <c r="A384" s="1110"/>
      <c r="B384" s="4310" t="s">
        <v>416</v>
      </c>
      <c r="C384" s="4298"/>
      <c r="D384" s="1178"/>
      <c r="E384" s="635">
        <f>SUM(E385:E388)</f>
        <v>30929000</v>
      </c>
      <c r="F384" s="635">
        <f t="shared" ref="F384" si="83">SUM(F385:F388)</f>
        <v>1200687</v>
      </c>
      <c r="G384" s="636">
        <f>SUM(G385:G388)</f>
        <v>1121391.81</v>
      </c>
      <c r="H384" s="637">
        <f t="shared" si="82"/>
        <v>0.9339584837680428</v>
      </c>
    </row>
    <row r="385" spans="1:8" ht="51.75" customHeight="1">
      <c r="A385" s="1110"/>
      <c r="B385" s="1179"/>
      <c r="C385" s="1162" t="s">
        <v>600</v>
      </c>
      <c r="D385" s="1114">
        <v>6209</v>
      </c>
      <c r="E385" s="545">
        <v>861000</v>
      </c>
      <c r="F385" s="545">
        <v>194340</v>
      </c>
      <c r="G385" s="542">
        <v>183045.12</v>
      </c>
      <c r="H385" s="547">
        <f t="shared" si="82"/>
        <v>0.94188082741586909</v>
      </c>
    </row>
    <row r="386" spans="1:8" ht="40.5" hidden="1" customHeight="1">
      <c r="A386" s="1110"/>
      <c r="B386" s="1180"/>
      <c r="C386" s="1162" t="s">
        <v>591</v>
      </c>
      <c r="D386" s="1114">
        <v>6257</v>
      </c>
      <c r="E386" s="545">
        <v>0</v>
      </c>
      <c r="F386" s="545">
        <v>0</v>
      </c>
      <c r="G386" s="542">
        <v>0</v>
      </c>
      <c r="H386" s="547"/>
    </row>
    <row r="387" spans="1:8" ht="42.75" customHeight="1" thickBot="1">
      <c r="A387" s="1137"/>
      <c r="B387" s="1181"/>
      <c r="C387" s="914" t="s">
        <v>601</v>
      </c>
      <c r="D387" s="1165">
        <v>6258</v>
      </c>
      <c r="E387" s="600">
        <v>30068000</v>
      </c>
      <c r="F387" s="600">
        <v>1006347</v>
      </c>
      <c r="G387" s="601">
        <v>938346.69</v>
      </c>
      <c r="H387" s="602">
        <f t="shared" si="82"/>
        <v>0.93242856589228162</v>
      </c>
    </row>
    <row r="388" spans="1:8" ht="43.5" hidden="1" customHeight="1" thickBot="1">
      <c r="A388" s="1182"/>
      <c r="B388" s="1183"/>
      <c r="C388" s="1184" t="s">
        <v>599</v>
      </c>
      <c r="D388" s="1185">
        <v>6259</v>
      </c>
      <c r="E388" s="566">
        <v>0</v>
      </c>
      <c r="F388" s="687">
        <v>0</v>
      </c>
      <c r="G388" s="688">
        <v>0</v>
      </c>
      <c r="H388" s="689"/>
    </row>
    <row r="389" spans="1:8" ht="15.75" thickBot="1">
      <c r="A389" s="317">
        <v>801</v>
      </c>
      <c r="B389" s="1103"/>
      <c r="C389" s="1104" t="s">
        <v>150</v>
      </c>
      <c r="D389" s="1104"/>
      <c r="E389" s="524">
        <f>SUM(E390,E396,E400,E410,E428,E437,E441)</f>
        <v>325725</v>
      </c>
      <c r="F389" s="524">
        <f>SUM(F390,F396,F400,F410,F428,F437,F441)</f>
        <v>2082485</v>
      </c>
      <c r="G389" s="525">
        <f>SUM(G390,G396,G400,G410,G428,G437,G441)</f>
        <v>1848439.06</v>
      </c>
      <c r="H389" s="526">
        <f t="shared" si="82"/>
        <v>0.8876121844815209</v>
      </c>
    </row>
    <row r="390" spans="1:8" ht="15.75" thickBot="1">
      <c r="A390" s="1186"/>
      <c r="B390" s="1107">
        <v>80102</v>
      </c>
      <c r="C390" s="1187" t="s">
        <v>602</v>
      </c>
      <c r="D390" s="1188"/>
      <c r="E390" s="532">
        <f>SUM(E391,E395)</f>
        <v>2500</v>
      </c>
      <c r="F390" s="532">
        <f>SUM(F391,F395)</f>
        <v>92500</v>
      </c>
      <c r="G390" s="533">
        <f>SUM(G391,G395)</f>
        <v>92077.29</v>
      </c>
      <c r="H390" s="534">
        <f t="shared" si="82"/>
        <v>0.99543016216216207</v>
      </c>
    </row>
    <row r="391" spans="1:8">
      <c r="A391" s="1189"/>
      <c r="B391" s="4263" t="s">
        <v>370</v>
      </c>
      <c r="C391" s="4264"/>
      <c r="D391" s="1152"/>
      <c r="E391" s="537">
        <f>SUM(E392:E394)</f>
        <v>2500</v>
      </c>
      <c r="F391" s="537">
        <f t="shared" ref="F391:G391" si="84">SUM(F392:F394)</f>
        <v>92500</v>
      </c>
      <c r="G391" s="538">
        <f t="shared" si="84"/>
        <v>92077.29</v>
      </c>
      <c r="H391" s="744">
        <f t="shared" si="82"/>
        <v>0.99543016216216207</v>
      </c>
    </row>
    <row r="392" spans="1:8">
      <c r="A392" s="1189"/>
      <c r="B392" s="4265"/>
      <c r="C392" s="1190" t="s">
        <v>603</v>
      </c>
      <c r="D392" s="1191" t="s">
        <v>71</v>
      </c>
      <c r="E392" s="545">
        <v>2500</v>
      </c>
      <c r="F392" s="545">
        <v>2500</v>
      </c>
      <c r="G392" s="546">
        <v>2077.29</v>
      </c>
      <c r="H392" s="547">
        <f t="shared" si="82"/>
        <v>0.83091599999999999</v>
      </c>
    </row>
    <row r="393" spans="1:8" ht="38.25" hidden="1" customHeight="1">
      <c r="A393" s="1189"/>
      <c r="B393" s="4266"/>
      <c r="C393" s="1192" t="s">
        <v>604</v>
      </c>
      <c r="D393" s="1193" t="s">
        <v>605</v>
      </c>
      <c r="E393" s="1194">
        <v>0</v>
      </c>
      <c r="F393" s="1194">
        <v>0</v>
      </c>
      <c r="G393" s="1195">
        <v>0</v>
      </c>
      <c r="H393" s="547" t="e">
        <f t="shared" si="82"/>
        <v>#DIV/0!</v>
      </c>
    </row>
    <row r="394" spans="1:8" ht="63.75">
      <c r="A394" s="1189"/>
      <c r="B394" s="4267"/>
      <c r="C394" s="1196" t="s">
        <v>606</v>
      </c>
      <c r="D394" s="544" t="s">
        <v>607</v>
      </c>
      <c r="E394" s="557">
        <v>0</v>
      </c>
      <c r="F394" s="557">
        <v>90000</v>
      </c>
      <c r="G394" s="558">
        <v>90000</v>
      </c>
      <c r="H394" s="547">
        <f t="shared" si="82"/>
        <v>1</v>
      </c>
    </row>
    <row r="395" spans="1:8" ht="15.75" thickBot="1">
      <c r="A395" s="1189"/>
      <c r="B395" s="4368" t="s">
        <v>375</v>
      </c>
      <c r="C395" s="4369"/>
      <c r="D395" s="1154"/>
      <c r="E395" s="750">
        <v>0</v>
      </c>
      <c r="F395" s="750">
        <v>0</v>
      </c>
      <c r="G395" s="751">
        <v>0</v>
      </c>
      <c r="H395" s="752"/>
    </row>
    <row r="396" spans="1:8" ht="15.75" hidden="1" thickBot="1">
      <c r="A396" s="1189"/>
      <c r="B396" s="1197">
        <v>80116</v>
      </c>
      <c r="C396" s="1198" t="s">
        <v>608</v>
      </c>
      <c r="D396" s="1199"/>
      <c r="E396" s="1200">
        <f>SUM(E397,E399)</f>
        <v>0</v>
      </c>
      <c r="F396" s="1200">
        <f>SUM(F397,F399)</f>
        <v>0</v>
      </c>
      <c r="G396" s="1201">
        <f>SUM(G397,G399)</f>
        <v>0</v>
      </c>
      <c r="H396" s="1202" t="e">
        <f t="shared" ref="H396:H398" si="85">G396/F396</f>
        <v>#DIV/0!</v>
      </c>
    </row>
    <row r="397" spans="1:8" ht="15" hidden="1" customHeight="1">
      <c r="A397" s="1189"/>
      <c r="B397" s="4344" t="s">
        <v>370</v>
      </c>
      <c r="C397" s="4345"/>
      <c r="D397" s="1203"/>
      <c r="E397" s="940">
        <f>SUM(E398:E398)</f>
        <v>0</v>
      </c>
      <c r="F397" s="940">
        <f>SUM(F398:F398)</f>
        <v>0</v>
      </c>
      <c r="G397" s="941">
        <f>SUM(G398:G398)</f>
        <v>0</v>
      </c>
      <c r="H397" s="942" t="e">
        <f t="shared" si="85"/>
        <v>#DIV/0!</v>
      </c>
    </row>
    <row r="398" spans="1:8" ht="30" hidden="1" customHeight="1">
      <c r="A398" s="1189"/>
      <c r="B398" s="1204"/>
      <c r="C398" s="1205" t="s">
        <v>609</v>
      </c>
      <c r="D398" s="1206" t="s">
        <v>444</v>
      </c>
      <c r="E398" s="850">
        <v>0</v>
      </c>
      <c r="F398" s="850">
        <v>0</v>
      </c>
      <c r="G398" s="851">
        <v>0</v>
      </c>
      <c r="H398" s="548" t="e">
        <f t="shared" si="85"/>
        <v>#DIV/0!</v>
      </c>
    </row>
    <row r="399" spans="1:8" ht="15.75" hidden="1" thickBot="1">
      <c r="A399" s="1189"/>
      <c r="B399" s="4370" t="s">
        <v>375</v>
      </c>
      <c r="C399" s="4371"/>
      <c r="D399" s="1207"/>
      <c r="E399" s="1208">
        <v>0</v>
      </c>
      <c r="F399" s="1208">
        <v>0</v>
      </c>
      <c r="G399" s="1209">
        <v>0</v>
      </c>
      <c r="H399" s="1210"/>
    </row>
    <row r="400" spans="1:8" ht="15.75" thickBot="1">
      <c r="A400" s="1189"/>
      <c r="B400" s="1134">
        <v>80130</v>
      </c>
      <c r="C400" s="1187" t="s">
        <v>361</v>
      </c>
      <c r="D400" s="1188"/>
      <c r="E400" s="605">
        <f>SUM(E401,E409)</f>
        <v>6950</v>
      </c>
      <c r="F400" s="605">
        <f>SUM(F401,F409)</f>
        <v>6950</v>
      </c>
      <c r="G400" s="606">
        <f>SUM(G401,G409)</f>
        <v>32775.58</v>
      </c>
      <c r="H400" s="607">
        <f t="shared" si="82"/>
        <v>4.7159107913669072</v>
      </c>
    </row>
    <row r="401" spans="1:8">
      <c r="A401" s="1189"/>
      <c r="B401" s="4263" t="s">
        <v>370</v>
      </c>
      <c r="C401" s="4264"/>
      <c r="D401" s="1152"/>
      <c r="E401" s="537">
        <f>SUM(E402:E408)</f>
        <v>6950</v>
      </c>
      <c r="F401" s="537">
        <f>SUM(F402:F408)</f>
        <v>6950</v>
      </c>
      <c r="G401" s="538">
        <f>SUM(G402:G408)</f>
        <v>32775.58</v>
      </c>
      <c r="H401" s="744">
        <f t="shared" si="82"/>
        <v>4.7159107913669072</v>
      </c>
    </row>
    <row r="402" spans="1:8">
      <c r="A402" s="1189"/>
      <c r="B402" s="4372"/>
      <c r="C402" s="4375" t="s">
        <v>603</v>
      </c>
      <c r="D402" s="540" t="s">
        <v>372</v>
      </c>
      <c r="E402" s="541">
        <v>0</v>
      </c>
      <c r="F402" s="541">
        <v>0</v>
      </c>
      <c r="G402" s="542">
        <v>3400</v>
      </c>
      <c r="H402" s="632"/>
    </row>
    <row r="403" spans="1:8" ht="15" customHeight="1">
      <c r="A403" s="1189"/>
      <c r="B403" s="4373"/>
      <c r="C403" s="4376"/>
      <c r="D403" s="540" t="s">
        <v>373</v>
      </c>
      <c r="E403" s="545">
        <v>0</v>
      </c>
      <c r="F403" s="545">
        <v>0</v>
      </c>
      <c r="G403" s="546">
        <v>9708</v>
      </c>
      <c r="H403" s="547"/>
    </row>
    <row r="404" spans="1:8" ht="15" customHeight="1">
      <c r="A404" s="1189"/>
      <c r="B404" s="4373"/>
      <c r="C404" s="4376"/>
      <c r="D404" s="540" t="s">
        <v>374</v>
      </c>
      <c r="E404" s="545">
        <v>0</v>
      </c>
      <c r="F404" s="545">
        <v>0</v>
      </c>
      <c r="G404" s="546">
        <v>2706.54</v>
      </c>
      <c r="H404" s="547"/>
    </row>
    <row r="405" spans="1:8" ht="15" customHeight="1">
      <c r="A405" s="1189"/>
      <c r="B405" s="4373"/>
      <c r="C405" s="4377"/>
      <c r="D405" s="540" t="s">
        <v>71</v>
      </c>
      <c r="E405" s="545">
        <v>6950</v>
      </c>
      <c r="F405" s="545">
        <v>6950</v>
      </c>
      <c r="G405" s="546">
        <v>3708.47</v>
      </c>
      <c r="H405" s="547">
        <f t="shared" si="82"/>
        <v>0.53359280575539569</v>
      </c>
    </row>
    <row r="406" spans="1:8" ht="51">
      <c r="A406" s="1189"/>
      <c r="B406" s="4373"/>
      <c r="C406" s="1211" t="s">
        <v>610</v>
      </c>
      <c r="D406" s="583" t="s">
        <v>611</v>
      </c>
      <c r="E406" s="545">
        <v>0</v>
      </c>
      <c r="F406" s="545">
        <v>0</v>
      </c>
      <c r="G406" s="546">
        <v>12446.28</v>
      </c>
      <c r="H406" s="547"/>
    </row>
    <row r="407" spans="1:8" ht="38.25">
      <c r="A407" s="1189"/>
      <c r="B407" s="4373"/>
      <c r="C407" s="1211" t="s">
        <v>612</v>
      </c>
      <c r="D407" s="583" t="s">
        <v>528</v>
      </c>
      <c r="E407" s="545">
        <v>0</v>
      </c>
      <c r="F407" s="545">
        <v>0</v>
      </c>
      <c r="G407" s="546">
        <v>753.72</v>
      </c>
      <c r="H407" s="547"/>
    </row>
    <row r="408" spans="1:8" ht="30" customHeight="1">
      <c r="A408" s="1189"/>
      <c r="B408" s="4374"/>
      <c r="C408" s="1212" t="s">
        <v>604</v>
      </c>
      <c r="D408" s="583" t="s">
        <v>605</v>
      </c>
      <c r="E408" s="545">
        <v>0</v>
      </c>
      <c r="F408" s="545">
        <v>0</v>
      </c>
      <c r="G408" s="546">
        <v>52.57</v>
      </c>
      <c r="H408" s="547"/>
    </row>
    <row r="409" spans="1:8" ht="15" customHeight="1" thickBot="1">
      <c r="A409" s="1189"/>
      <c r="B409" s="4302" t="s">
        <v>375</v>
      </c>
      <c r="C409" s="4302"/>
      <c r="D409" s="1213"/>
      <c r="E409" s="594">
        <v>0</v>
      </c>
      <c r="F409" s="594">
        <v>0</v>
      </c>
      <c r="G409" s="595">
        <v>0</v>
      </c>
      <c r="H409" s="596"/>
    </row>
    <row r="410" spans="1:8" ht="15" customHeight="1" thickBot="1">
      <c r="A410" s="1189"/>
      <c r="B410" s="1134">
        <v>80146</v>
      </c>
      <c r="C410" s="1187" t="s">
        <v>613</v>
      </c>
      <c r="D410" s="1188"/>
      <c r="E410" s="605">
        <f>SUM(E411,E426)</f>
        <v>285255</v>
      </c>
      <c r="F410" s="605">
        <f>SUM(F411,F426)</f>
        <v>1818856</v>
      </c>
      <c r="G410" s="606">
        <f>SUM(G411,G426)</f>
        <v>1526441.02</v>
      </c>
      <c r="H410" s="607">
        <f t="shared" si="82"/>
        <v>0.83923137400651837</v>
      </c>
    </row>
    <row r="411" spans="1:8" ht="15" customHeight="1">
      <c r="A411" s="1189"/>
      <c r="B411" s="4263" t="s">
        <v>370</v>
      </c>
      <c r="C411" s="4264"/>
      <c r="D411" s="1214"/>
      <c r="E411" s="1215">
        <f>SUM(E412:E425)</f>
        <v>285255</v>
      </c>
      <c r="F411" s="561">
        <f>SUM(F412:F425)</f>
        <v>1818856</v>
      </c>
      <c r="G411" s="562">
        <f>SUM(G412:G425)</f>
        <v>1526329.02</v>
      </c>
      <c r="H411" s="1216">
        <f t="shared" si="82"/>
        <v>0.83916979683933202</v>
      </c>
    </row>
    <row r="412" spans="1:8" ht="15" customHeight="1">
      <c r="A412" s="1189"/>
      <c r="B412" s="4361"/>
      <c r="C412" s="4307" t="s">
        <v>603</v>
      </c>
      <c r="D412" s="1217" t="s">
        <v>372</v>
      </c>
      <c r="E412" s="881">
        <v>4657</v>
      </c>
      <c r="F412" s="545">
        <v>4657</v>
      </c>
      <c r="G412" s="546">
        <v>4656.12</v>
      </c>
      <c r="H412" s="651">
        <f t="shared" si="82"/>
        <v>0.99981103714837871</v>
      </c>
    </row>
    <row r="413" spans="1:8" ht="15" customHeight="1" thickBot="1">
      <c r="A413" s="1218"/>
      <c r="B413" s="4362"/>
      <c r="C413" s="4363"/>
      <c r="D413" s="1219" t="s">
        <v>71</v>
      </c>
      <c r="E413" s="1220">
        <v>0</v>
      </c>
      <c r="F413" s="600">
        <v>0</v>
      </c>
      <c r="G413" s="601">
        <v>2290</v>
      </c>
      <c r="H413" s="655"/>
    </row>
    <row r="414" spans="1:8" ht="52.5" customHeight="1">
      <c r="A414" s="1186"/>
      <c r="B414" s="4364"/>
      <c r="C414" s="1221" t="s">
        <v>614</v>
      </c>
      <c r="D414" s="1222" t="s">
        <v>615</v>
      </c>
      <c r="E414" s="1223">
        <v>0</v>
      </c>
      <c r="F414" s="1224">
        <v>2925</v>
      </c>
      <c r="G414" s="1225">
        <v>1166.9100000000001</v>
      </c>
      <c r="H414" s="1226">
        <f t="shared" si="82"/>
        <v>0.39894358974358979</v>
      </c>
    </row>
    <row r="415" spans="1:8" ht="66" customHeight="1">
      <c r="A415" s="1189"/>
      <c r="B415" s="4266"/>
      <c r="C415" s="1227" t="s">
        <v>616</v>
      </c>
      <c r="D415" s="1228" t="s">
        <v>535</v>
      </c>
      <c r="E415" s="1229">
        <v>0</v>
      </c>
      <c r="F415" s="955">
        <v>16573</v>
      </c>
      <c r="G415" s="956">
        <v>6612.53</v>
      </c>
      <c r="H415" s="1230">
        <f t="shared" si="82"/>
        <v>0.39899414710673986</v>
      </c>
    </row>
    <row r="416" spans="1:8" ht="64.5" customHeight="1">
      <c r="A416" s="1189"/>
      <c r="B416" s="1231"/>
      <c r="C416" s="1176" t="s">
        <v>617</v>
      </c>
      <c r="D416" s="4365" t="s">
        <v>611</v>
      </c>
      <c r="E416" s="1232">
        <v>24273</v>
      </c>
      <c r="F416" s="541">
        <v>97772</v>
      </c>
      <c r="G416" s="542">
        <v>21841.14</v>
      </c>
      <c r="H416" s="1233">
        <f t="shared" si="82"/>
        <v>0.22338849568383587</v>
      </c>
    </row>
    <row r="417" spans="1:8" ht="51" customHeight="1">
      <c r="A417" s="1189"/>
      <c r="B417" s="1231"/>
      <c r="C417" s="1176" t="s">
        <v>618</v>
      </c>
      <c r="D417" s="4366"/>
      <c r="E417" s="1234">
        <v>60548</v>
      </c>
      <c r="F417" s="541">
        <v>109020</v>
      </c>
      <c r="G417" s="542">
        <v>84239.18</v>
      </c>
      <c r="H417" s="1233">
        <f t="shared" si="82"/>
        <v>0.77269473491102547</v>
      </c>
    </row>
    <row r="418" spans="1:8" ht="51">
      <c r="A418" s="1189"/>
      <c r="B418" s="1235"/>
      <c r="C418" s="1211" t="s">
        <v>619</v>
      </c>
      <c r="D418" s="4366"/>
      <c r="E418" s="876">
        <v>152549</v>
      </c>
      <c r="F418" s="557">
        <v>152549</v>
      </c>
      <c r="G418" s="558">
        <v>152549.29999999999</v>
      </c>
      <c r="H418" s="1236">
        <f t="shared" si="82"/>
        <v>1.0000019665812296</v>
      </c>
    </row>
    <row r="419" spans="1:8" ht="92.25" customHeight="1" thickBot="1">
      <c r="A419" s="1218"/>
      <c r="B419" s="1237"/>
      <c r="C419" s="1238" t="s">
        <v>620</v>
      </c>
      <c r="D419" s="4367"/>
      <c r="E419" s="1239">
        <v>0</v>
      </c>
      <c r="F419" s="1047">
        <v>130107</v>
      </c>
      <c r="G419" s="1048">
        <v>78064.350000000006</v>
      </c>
      <c r="H419" s="1240">
        <f>G419/F419</f>
        <v>0.60000115289723077</v>
      </c>
    </row>
    <row r="420" spans="1:8" ht="63.75" customHeight="1">
      <c r="A420" s="1186"/>
      <c r="B420" s="1241"/>
      <c r="C420" s="1242" t="s">
        <v>621</v>
      </c>
      <c r="D420" s="4359" t="s">
        <v>528</v>
      </c>
      <c r="E420" s="1223">
        <v>4527</v>
      </c>
      <c r="F420" s="1224">
        <v>18226</v>
      </c>
      <c r="G420" s="1225">
        <v>4063.86</v>
      </c>
      <c r="H420" s="1243">
        <f t="shared" si="82"/>
        <v>0.22297048172939757</v>
      </c>
    </row>
    <row r="421" spans="1:8" ht="51" customHeight="1">
      <c r="A421" s="1189"/>
      <c r="B421" s="1231"/>
      <c r="C421" s="1244" t="s">
        <v>622</v>
      </c>
      <c r="D421" s="4312"/>
      <c r="E421" s="1245">
        <v>10996</v>
      </c>
      <c r="F421" s="1068">
        <v>19800</v>
      </c>
      <c r="G421" s="1069">
        <v>15299.02</v>
      </c>
      <c r="H421" s="1236">
        <f t="shared" si="82"/>
        <v>0.7726777777777778</v>
      </c>
    </row>
    <row r="422" spans="1:8" ht="38.25" customHeight="1">
      <c r="A422" s="1189"/>
      <c r="B422" s="1231"/>
      <c r="C422" s="1171" t="s">
        <v>623</v>
      </c>
      <c r="D422" s="4312"/>
      <c r="E422" s="1232">
        <v>27705</v>
      </c>
      <c r="F422" s="541">
        <v>27705</v>
      </c>
      <c r="G422" s="542">
        <v>27705.1</v>
      </c>
      <c r="H422" s="1236">
        <f t="shared" si="82"/>
        <v>1.0000036094567768</v>
      </c>
    </row>
    <row r="423" spans="1:8" ht="90" customHeight="1">
      <c r="A423" s="1189"/>
      <c r="B423" s="1231"/>
      <c r="C423" s="1246" t="s">
        <v>624</v>
      </c>
      <c r="D423" s="4331"/>
      <c r="E423" s="1247">
        <v>0</v>
      </c>
      <c r="F423" s="1248">
        <v>24268</v>
      </c>
      <c r="G423" s="1158">
        <v>14560.65</v>
      </c>
      <c r="H423" s="1236">
        <f t="shared" si="82"/>
        <v>0.59999381902093285</v>
      </c>
    </row>
    <row r="424" spans="1:8" ht="40.5" customHeight="1">
      <c r="A424" s="1189"/>
      <c r="B424" s="1166"/>
      <c r="C424" s="1249" t="s">
        <v>625</v>
      </c>
      <c r="D424" s="1228" t="s">
        <v>626</v>
      </c>
      <c r="E424" s="1245">
        <v>0</v>
      </c>
      <c r="F424" s="1068">
        <v>1215254</v>
      </c>
      <c r="G424" s="1069">
        <v>1113080.8600000001</v>
      </c>
      <c r="H424" s="1250">
        <f t="shared" si="82"/>
        <v>0.9159244569448034</v>
      </c>
    </row>
    <row r="425" spans="1:8" ht="27.75" customHeight="1">
      <c r="A425" s="1189"/>
      <c r="B425" s="1251"/>
      <c r="C425" s="1249" t="s">
        <v>604</v>
      </c>
      <c r="D425" s="1252" t="s">
        <v>605</v>
      </c>
      <c r="E425" s="1245">
        <v>0</v>
      </c>
      <c r="F425" s="1068">
        <v>0</v>
      </c>
      <c r="G425" s="1069">
        <v>200</v>
      </c>
      <c r="H425" s="1250"/>
    </row>
    <row r="426" spans="1:8" ht="15" customHeight="1">
      <c r="A426" s="1189"/>
      <c r="B426" s="4310" t="s">
        <v>375</v>
      </c>
      <c r="C426" s="4290"/>
      <c r="D426" s="1253"/>
      <c r="E426" s="551">
        <f>SUM(E427)</f>
        <v>0</v>
      </c>
      <c r="F426" s="551">
        <f t="shared" ref="F426:G426" si="86">SUM(F427)</f>
        <v>0</v>
      </c>
      <c r="G426" s="1254">
        <f t="shared" si="86"/>
        <v>112</v>
      </c>
      <c r="H426" s="553"/>
    </row>
    <row r="427" spans="1:8" ht="15" customHeight="1" thickBot="1">
      <c r="A427" s="1189"/>
      <c r="B427" s="1255"/>
      <c r="C427" s="1256" t="s">
        <v>603</v>
      </c>
      <c r="D427" s="1257" t="s">
        <v>376</v>
      </c>
      <c r="E427" s="512">
        <v>0</v>
      </c>
      <c r="F427" s="566">
        <v>0</v>
      </c>
      <c r="G427" s="567">
        <v>112</v>
      </c>
      <c r="H427" s="1072"/>
    </row>
    <row r="428" spans="1:8" ht="14.25" customHeight="1" thickBot="1">
      <c r="A428" s="1189"/>
      <c r="B428" s="1107">
        <v>80147</v>
      </c>
      <c r="C428" s="1187" t="s">
        <v>627</v>
      </c>
      <c r="D428" s="1188"/>
      <c r="E428" s="532">
        <f>SUM(E429,E436)</f>
        <v>31020</v>
      </c>
      <c r="F428" s="532">
        <f t="shared" ref="F428:G428" si="87">SUM(F429,F436)</f>
        <v>31020</v>
      </c>
      <c r="G428" s="533">
        <f t="shared" si="87"/>
        <v>44026.92</v>
      </c>
      <c r="H428" s="534">
        <f t="shared" si="82"/>
        <v>1.4193075435203095</v>
      </c>
    </row>
    <row r="429" spans="1:8">
      <c r="A429" s="1189"/>
      <c r="B429" s="4298" t="s">
        <v>370</v>
      </c>
      <c r="C429" s="4332"/>
      <c r="D429" s="1152"/>
      <c r="E429" s="537">
        <f>SUM(E430:E435)</f>
        <v>31020</v>
      </c>
      <c r="F429" s="537">
        <f t="shared" ref="F429:G429" si="88">SUM(F430:F435)</f>
        <v>31020</v>
      </c>
      <c r="G429" s="538">
        <f t="shared" si="88"/>
        <v>44026.92</v>
      </c>
      <c r="H429" s="744">
        <f t="shared" si="82"/>
        <v>1.4193075435203095</v>
      </c>
    </row>
    <row r="430" spans="1:8">
      <c r="A430" s="1189"/>
      <c r="B430" s="4299"/>
      <c r="C430" s="4360" t="s">
        <v>628</v>
      </c>
      <c r="D430" s="583" t="s">
        <v>372</v>
      </c>
      <c r="E430" s="541">
        <v>0</v>
      </c>
      <c r="F430" s="541">
        <v>0</v>
      </c>
      <c r="G430" s="542">
        <v>4953.6000000000004</v>
      </c>
      <c r="H430" s="592"/>
    </row>
    <row r="431" spans="1:8">
      <c r="A431" s="1189"/>
      <c r="B431" s="4326"/>
      <c r="C431" s="4360"/>
      <c r="D431" s="583" t="s">
        <v>373</v>
      </c>
      <c r="E431" s="590">
        <v>4000</v>
      </c>
      <c r="F431" s="590">
        <v>4000</v>
      </c>
      <c r="G431" s="591">
        <v>3347.57</v>
      </c>
      <c r="H431" s="592">
        <f t="shared" si="82"/>
        <v>0.83689250000000004</v>
      </c>
    </row>
    <row r="432" spans="1:8">
      <c r="A432" s="1189"/>
      <c r="B432" s="4326"/>
      <c r="C432" s="4360"/>
      <c r="D432" s="583" t="s">
        <v>374</v>
      </c>
      <c r="E432" s="590">
        <v>500</v>
      </c>
      <c r="F432" s="590">
        <v>500</v>
      </c>
      <c r="G432" s="591">
        <v>9756.32</v>
      </c>
      <c r="H432" s="592">
        <f t="shared" si="82"/>
        <v>19.512640000000001</v>
      </c>
    </row>
    <row r="433" spans="1:8">
      <c r="A433" s="1189"/>
      <c r="B433" s="4326"/>
      <c r="C433" s="4360"/>
      <c r="D433" s="583" t="s">
        <v>380</v>
      </c>
      <c r="E433" s="590">
        <v>0</v>
      </c>
      <c r="F433" s="590">
        <v>0</v>
      </c>
      <c r="G433" s="546">
        <v>25.32</v>
      </c>
      <c r="H433" s="592"/>
    </row>
    <row r="434" spans="1:8">
      <c r="A434" s="1189"/>
      <c r="B434" s="4326"/>
      <c r="C434" s="4360"/>
      <c r="D434" s="540" t="s">
        <v>71</v>
      </c>
      <c r="E434" s="545">
        <v>26520</v>
      </c>
      <c r="F434" s="545">
        <v>26520</v>
      </c>
      <c r="G434" s="546">
        <v>24466.67</v>
      </c>
      <c r="H434" s="547">
        <f t="shared" si="82"/>
        <v>0.9225742835595776</v>
      </c>
    </row>
    <row r="435" spans="1:8" ht="27.75" customHeight="1">
      <c r="A435" s="1189"/>
      <c r="B435" s="1258"/>
      <c r="C435" s="1259" t="s">
        <v>604</v>
      </c>
      <c r="D435" s="540" t="s">
        <v>605</v>
      </c>
      <c r="E435" s="545">
        <v>0</v>
      </c>
      <c r="F435" s="545">
        <v>0</v>
      </c>
      <c r="G435" s="546">
        <v>1477.44</v>
      </c>
      <c r="H435" s="547"/>
    </row>
    <row r="436" spans="1:8" ht="13.5" customHeight="1" thickBot="1">
      <c r="A436" s="1218"/>
      <c r="B436" s="4268" t="s">
        <v>375</v>
      </c>
      <c r="C436" s="4301"/>
      <c r="D436" s="1260"/>
      <c r="E436" s="577">
        <v>0</v>
      </c>
      <c r="F436" s="577">
        <v>0</v>
      </c>
      <c r="G436" s="578">
        <v>0</v>
      </c>
      <c r="H436" s="579"/>
    </row>
    <row r="437" spans="1:8" ht="39" thickBot="1">
      <c r="A437" s="1189"/>
      <c r="B437" s="1261">
        <v>80153</v>
      </c>
      <c r="C437" s="1262" t="s">
        <v>280</v>
      </c>
      <c r="D437" s="1263"/>
      <c r="E437" s="1099">
        <f t="shared" ref="E437:G437" si="89">SUM(E438,E440)</f>
        <v>0</v>
      </c>
      <c r="F437" s="1099">
        <f t="shared" si="89"/>
        <v>13988</v>
      </c>
      <c r="G437" s="1100">
        <f t="shared" si="89"/>
        <v>13690.21</v>
      </c>
      <c r="H437" s="1101">
        <f t="shared" ref="H437:H439" si="90">G437/F437</f>
        <v>0.97871103803259929</v>
      </c>
    </row>
    <row r="438" spans="1:8">
      <c r="A438" s="1189"/>
      <c r="B438" s="4298" t="s">
        <v>370</v>
      </c>
      <c r="C438" s="4332"/>
      <c r="D438" s="1152"/>
      <c r="E438" s="537">
        <f>SUM(E439)</f>
        <v>0</v>
      </c>
      <c r="F438" s="537">
        <f t="shared" ref="F438:G438" si="91">SUM(F439)</f>
        <v>13988</v>
      </c>
      <c r="G438" s="538">
        <f t="shared" si="91"/>
        <v>13690.21</v>
      </c>
      <c r="H438" s="744">
        <f t="shared" si="90"/>
        <v>0.97871103803259929</v>
      </c>
    </row>
    <row r="439" spans="1:8" ht="38.25">
      <c r="A439" s="1189"/>
      <c r="B439" s="1112"/>
      <c r="C439" s="1171" t="s">
        <v>394</v>
      </c>
      <c r="D439" s="1136" t="s">
        <v>266</v>
      </c>
      <c r="E439" s="545">
        <v>0</v>
      </c>
      <c r="F439" s="545">
        <v>13988</v>
      </c>
      <c r="G439" s="546">
        <v>13690.21</v>
      </c>
      <c r="H439" s="547">
        <f t="shared" si="90"/>
        <v>0.97871103803259929</v>
      </c>
    </row>
    <row r="440" spans="1:8" ht="15" customHeight="1" thickBot="1">
      <c r="A440" s="1189"/>
      <c r="B440" s="4302" t="s">
        <v>375</v>
      </c>
      <c r="C440" s="4332"/>
      <c r="D440" s="1152"/>
      <c r="E440" s="635">
        <v>0</v>
      </c>
      <c r="F440" s="635">
        <v>0</v>
      </c>
      <c r="G440" s="636">
        <v>0</v>
      </c>
      <c r="H440" s="637"/>
    </row>
    <row r="441" spans="1:8" ht="16.5" customHeight="1" thickBot="1">
      <c r="A441" s="1189"/>
      <c r="B441" s="1107">
        <v>80195</v>
      </c>
      <c r="C441" s="1187" t="s">
        <v>95</v>
      </c>
      <c r="D441" s="1188"/>
      <c r="E441" s="532">
        <f>SUM(E442,E448)</f>
        <v>0</v>
      </c>
      <c r="F441" s="532">
        <f>SUM(F442,F448)</f>
        <v>119171</v>
      </c>
      <c r="G441" s="533">
        <f>SUM(G442,G448)</f>
        <v>139428.04</v>
      </c>
      <c r="H441" s="534">
        <f t="shared" si="82"/>
        <v>1.1699829656543959</v>
      </c>
    </row>
    <row r="442" spans="1:8" s="1175" customFormat="1" ht="17.25" customHeight="1">
      <c r="A442" s="1189"/>
      <c r="B442" s="4263" t="s">
        <v>370</v>
      </c>
      <c r="C442" s="4264"/>
      <c r="D442" s="1264"/>
      <c r="E442" s="537">
        <f>SUM(E443:E447)</f>
        <v>0</v>
      </c>
      <c r="F442" s="537">
        <f>SUM(F443:F447)</f>
        <v>119091</v>
      </c>
      <c r="G442" s="538">
        <f>SUM(G443:G447)</f>
        <v>137753.35</v>
      </c>
      <c r="H442" s="744">
        <f t="shared" si="82"/>
        <v>1.1567066361018046</v>
      </c>
    </row>
    <row r="443" spans="1:8" s="1175" customFormat="1" ht="66.75" customHeight="1">
      <c r="A443" s="1189"/>
      <c r="B443" s="4355"/>
      <c r="C443" s="911" t="s">
        <v>629</v>
      </c>
      <c r="D443" s="540" t="s">
        <v>374</v>
      </c>
      <c r="E443" s="541">
        <v>0</v>
      </c>
      <c r="F443" s="541">
        <v>0</v>
      </c>
      <c r="G443" s="542">
        <v>38.31</v>
      </c>
      <c r="H443" s="1265"/>
    </row>
    <row r="444" spans="1:8" s="1175" customFormat="1" ht="6" hidden="1" customHeight="1">
      <c r="A444" s="1189"/>
      <c r="B444" s="4356"/>
      <c r="C444" s="622" t="s">
        <v>630</v>
      </c>
      <c r="D444" s="540" t="s">
        <v>631</v>
      </c>
      <c r="E444" s="545">
        <v>0</v>
      </c>
      <c r="F444" s="545">
        <v>0</v>
      </c>
      <c r="G444" s="546">
        <v>0</v>
      </c>
      <c r="H444" s="543"/>
    </row>
    <row r="445" spans="1:8" s="1175" customFormat="1" ht="54" customHeight="1">
      <c r="A445" s="1189"/>
      <c r="B445" s="4356"/>
      <c r="C445" s="1266" t="s">
        <v>632</v>
      </c>
      <c r="D445" s="583" t="s">
        <v>201</v>
      </c>
      <c r="E445" s="545">
        <v>0</v>
      </c>
      <c r="F445" s="545">
        <v>0</v>
      </c>
      <c r="G445" s="546">
        <v>352.5</v>
      </c>
      <c r="H445" s="1265"/>
    </row>
    <row r="446" spans="1:8" s="1175" customFormat="1" ht="63.75">
      <c r="A446" s="1189"/>
      <c r="B446" s="4356"/>
      <c r="C446" s="1267" t="s">
        <v>633</v>
      </c>
      <c r="D446" s="549" t="s">
        <v>634</v>
      </c>
      <c r="E446" s="566">
        <v>0</v>
      </c>
      <c r="F446" s="566">
        <v>5717</v>
      </c>
      <c r="G446" s="567">
        <v>5715.45</v>
      </c>
      <c r="H446" s="1265">
        <f t="shared" si="82"/>
        <v>0.99972887878257821</v>
      </c>
    </row>
    <row r="447" spans="1:8" s="1175" customFormat="1" ht="42" customHeight="1">
      <c r="A447" s="1189"/>
      <c r="B447" s="4357"/>
      <c r="C447" s="1266" t="s">
        <v>414</v>
      </c>
      <c r="D447" s="583" t="s">
        <v>635</v>
      </c>
      <c r="E447" s="545">
        <v>0</v>
      </c>
      <c r="F447" s="545">
        <v>113374</v>
      </c>
      <c r="G447" s="546">
        <v>131647.09</v>
      </c>
      <c r="H447" s="547">
        <f>G447/F447</f>
        <v>1.1611753135639564</v>
      </c>
    </row>
    <row r="448" spans="1:8" s="1175" customFormat="1" ht="17.25" customHeight="1">
      <c r="A448" s="1189"/>
      <c r="B448" s="4358" t="s">
        <v>416</v>
      </c>
      <c r="C448" s="4332"/>
      <c r="D448" s="1213"/>
      <c r="E448" s="635">
        <f>E449</f>
        <v>0</v>
      </c>
      <c r="F448" s="635">
        <f t="shared" ref="F448:G448" si="92">F449</f>
        <v>80</v>
      </c>
      <c r="G448" s="636">
        <f t="shared" si="92"/>
        <v>1674.69</v>
      </c>
      <c r="H448" s="637">
        <f t="shared" si="82"/>
        <v>20.933624999999999</v>
      </c>
    </row>
    <row r="449" spans="1:8" s="1175" customFormat="1" ht="42.75" customHeight="1" thickBot="1">
      <c r="A449" s="1218"/>
      <c r="B449" s="1268"/>
      <c r="C449" s="1269" t="s">
        <v>414</v>
      </c>
      <c r="D449" s="1270" t="s">
        <v>636</v>
      </c>
      <c r="E449" s="1070">
        <v>0</v>
      </c>
      <c r="F449" s="1070">
        <v>80</v>
      </c>
      <c r="G449" s="1071">
        <v>1674.69</v>
      </c>
      <c r="H449" s="1271">
        <f>G449/F449</f>
        <v>20.933624999999999</v>
      </c>
    </row>
    <row r="450" spans="1:8" s="1175" customFormat="1" ht="18" customHeight="1" thickBot="1">
      <c r="A450" s="317">
        <v>851</v>
      </c>
      <c r="B450" s="1272"/>
      <c r="C450" s="1273" t="s">
        <v>41</v>
      </c>
      <c r="D450" s="1274"/>
      <c r="E450" s="1275">
        <f>E451+E460+E464+E468+E477+E482+E487+E495+E473+E491</f>
        <v>55000</v>
      </c>
      <c r="F450" s="1275">
        <f>F451+F460+F464+F468+F477+F482+F487+F495+F473+F491</f>
        <v>19789044</v>
      </c>
      <c r="G450" s="1276">
        <f>G451+G460+G464+G468+G477+G482+G487+G495+G473+G491</f>
        <v>23831527.409999996</v>
      </c>
      <c r="H450" s="1277">
        <f t="shared" si="82"/>
        <v>1.2042788630921228</v>
      </c>
    </row>
    <row r="451" spans="1:8" s="1175" customFormat="1" ht="15.75" thickBot="1">
      <c r="A451" s="1278"/>
      <c r="B451" s="1279">
        <v>85111</v>
      </c>
      <c r="C451" s="1280" t="s">
        <v>355</v>
      </c>
      <c r="D451" s="1281"/>
      <c r="E451" s="757">
        <f>SUM(E452,E455)</f>
        <v>0</v>
      </c>
      <c r="F451" s="757">
        <f>SUM(F452,F455)</f>
        <v>3844992</v>
      </c>
      <c r="G451" s="758">
        <f>SUM(G452,G455)</f>
        <v>8636471.8499999996</v>
      </c>
      <c r="H451" s="759">
        <f t="shared" si="82"/>
        <v>2.2461612013757115</v>
      </c>
    </row>
    <row r="452" spans="1:8" s="1175" customFormat="1" ht="14.25" customHeight="1">
      <c r="A452" s="1282"/>
      <c r="B452" s="4276" t="s">
        <v>582</v>
      </c>
      <c r="C452" s="4277"/>
      <c r="D452" s="1283"/>
      <c r="E452" s="761">
        <f>SUM(E453:E454)</f>
        <v>0</v>
      </c>
      <c r="F452" s="761">
        <f>SUM(F453:F454)</f>
        <v>0</v>
      </c>
      <c r="G452" s="762">
        <f>SUM(G453:G454)</f>
        <v>0</v>
      </c>
      <c r="H452" s="763"/>
    </row>
    <row r="453" spans="1:8" s="1175" customFormat="1" ht="15.75" hidden="1" customHeight="1">
      <c r="A453" s="1282"/>
      <c r="B453" s="4270"/>
      <c r="C453" s="1284" t="s">
        <v>394</v>
      </c>
      <c r="D453" s="1285" t="s">
        <v>266</v>
      </c>
      <c r="E453" s="766">
        <v>0</v>
      </c>
      <c r="F453" s="766">
        <v>0</v>
      </c>
      <c r="G453" s="767">
        <v>0</v>
      </c>
      <c r="H453" s="1017" t="e">
        <f>G453/F453</f>
        <v>#DIV/0!</v>
      </c>
    </row>
    <row r="454" spans="1:8" s="1175" customFormat="1" ht="14.25" hidden="1" customHeight="1">
      <c r="A454" s="1286"/>
      <c r="B454" s="4272"/>
      <c r="C454" s="1287" t="s">
        <v>637</v>
      </c>
      <c r="D454" s="1288">
        <v>2950</v>
      </c>
      <c r="E454" s="770">
        <v>0</v>
      </c>
      <c r="F454" s="770">
        <v>0</v>
      </c>
      <c r="G454" s="771">
        <v>0</v>
      </c>
      <c r="H454" s="1015"/>
    </row>
    <row r="455" spans="1:8" s="1175" customFormat="1">
      <c r="A455" s="1286"/>
      <c r="B455" s="4273" t="s">
        <v>416</v>
      </c>
      <c r="C455" s="4354"/>
      <c r="D455" s="1289"/>
      <c r="E455" s="1290">
        <f>SUM(E456:E459)</f>
        <v>0</v>
      </c>
      <c r="F455" s="1290">
        <f t="shared" ref="F455:G455" si="93">SUM(F456:F459)</f>
        <v>3844992</v>
      </c>
      <c r="G455" s="1291">
        <f t="shared" si="93"/>
        <v>8636471.8499999996</v>
      </c>
      <c r="H455" s="1292">
        <f t="shared" ref="H455:H542" si="94">G455/F455</f>
        <v>2.2461612013757115</v>
      </c>
    </row>
    <row r="456" spans="1:8" s="1175" customFormat="1" ht="17.25" hidden="1" customHeight="1">
      <c r="A456" s="1293"/>
      <c r="B456" s="4270"/>
      <c r="C456" s="1287" t="s">
        <v>638</v>
      </c>
      <c r="D456" s="1288">
        <v>6510</v>
      </c>
      <c r="E456" s="770">
        <v>0</v>
      </c>
      <c r="F456" s="770">
        <v>0</v>
      </c>
      <c r="G456" s="771">
        <v>0</v>
      </c>
      <c r="H456" s="1015" t="e">
        <f>G456/F456</f>
        <v>#DIV/0!</v>
      </c>
    </row>
    <row r="457" spans="1:8" s="1175" customFormat="1" ht="38.25">
      <c r="A457" s="1293"/>
      <c r="B457" s="4271"/>
      <c r="C457" s="1287" t="s">
        <v>639</v>
      </c>
      <c r="D457" s="1288">
        <v>6530</v>
      </c>
      <c r="E457" s="770">
        <v>0</v>
      </c>
      <c r="F457" s="770">
        <v>3844992</v>
      </c>
      <c r="G457" s="771">
        <v>3844992</v>
      </c>
      <c r="H457" s="1015">
        <f>G457/F457</f>
        <v>1</v>
      </c>
    </row>
    <row r="458" spans="1:8" s="1175" customFormat="1" ht="26.25" thickBot="1">
      <c r="A458" s="1293"/>
      <c r="B458" s="4271"/>
      <c r="C458" s="1287" t="s">
        <v>640</v>
      </c>
      <c r="D458" s="1288">
        <v>6690</v>
      </c>
      <c r="E458" s="770">
        <v>0</v>
      </c>
      <c r="F458" s="770">
        <v>0</v>
      </c>
      <c r="G458" s="771">
        <v>4791479.8499999996</v>
      </c>
      <c r="H458" s="1015"/>
    </row>
    <row r="459" spans="1:8" s="1175" customFormat="1" ht="14.25" hidden="1" customHeight="1" thickBot="1">
      <c r="A459" s="1293"/>
      <c r="B459" s="4275"/>
      <c r="C459" s="1294" t="s">
        <v>641</v>
      </c>
      <c r="D459" s="1288">
        <v>6699</v>
      </c>
      <c r="E459" s="770">
        <v>0</v>
      </c>
      <c r="F459" s="770">
        <v>0</v>
      </c>
      <c r="G459" s="771">
        <v>0</v>
      </c>
      <c r="H459" s="1015" t="e">
        <f t="shared" si="94"/>
        <v>#DIV/0!</v>
      </c>
    </row>
    <row r="460" spans="1:8" s="1175" customFormat="1" ht="31.5" hidden="1" customHeight="1" thickBot="1">
      <c r="A460" s="1293"/>
      <c r="B460" s="1279">
        <v>85119</v>
      </c>
      <c r="C460" s="1280" t="s">
        <v>642</v>
      </c>
      <c r="D460" s="1281"/>
      <c r="E460" s="1025">
        <f>E461+E462</f>
        <v>0</v>
      </c>
      <c r="F460" s="1025">
        <f t="shared" ref="F460:G460" si="95">F461+F462</f>
        <v>0</v>
      </c>
      <c r="G460" s="1026">
        <f t="shared" si="95"/>
        <v>0</v>
      </c>
      <c r="H460" s="759" t="e">
        <f t="shared" si="94"/>
        <v>#DIV/0!</v>
      </c>
    </row>
    <row r="461" spans="1:8" s="1175" customFormat="1" ht="15.75" hidden="1" customHeight="1">
      <c r="A461" s="1293"/>
      <c r="B461" s="4276" t="s">
        <v>582</v>
      </c>
      <c r="C461" s="4277"/>
      <c r="D461" s="1283"/>
      <c r="E461" s="761">
        <v>0</v>
      </c>
      <c r="F461" s="761">
        <v>0</v>
      </c>
      <c r="G461" s="762">
        <v>0</v>
      </c>
      <c r="H461" s="763"/>
    </row>
    <row r="462" spans="1:8" s="1175" customFormat="1" ht="15.75" hidden="1" thickBot="1">
      <c r="A462" s="1293"/>
      <c r="B462" s="4282" t="s">
        <v>416</v>
      </c>
      <c r="C462" s="4296"/>
      <c r="D462" s="1295"/>
      <c r="E462" s="995">
        <f>E463</f>
        <v>0</v>
      </c>
      <c r="F462" s="995">
        <f t="shared" ref="F462:G462" si="96">F463</f>
        <v>0</v>
      </c>
      <c r="G462" s="996">
        <f t="shared" si="96"/>
        <v>0</v>
      </c>
      <c r="H462" s="1292" t="e">
        <f>G462/F462</f>
        <v>#DIV/0!</v>
      </c>
    </row>
    <row r="463" spans="1:8" s="1175" customFormat="1" ht="51.75" hidden="1" thickBot="1">
      <c r="A463" s="1293"/>
      <c r="B463" s="1296"/>
      <c r="C463" s="1297" t="s">
        <v>643</v>
      </c>
      <c r="D463" s="1298">
        <v>6510</v>
      </c>
      <c r="E463" s="1299">
        <v>0</v>
      </c>
      <c r="F463" s="1299">
        <v>0</v>
      </c>
      <c r="G463" s="1300">
        <v>0</v>
      </c>
      <c r="H463" s="1301" t="e">
        <f>G463/F463</f>
        <v>#DIV/0!</v>
      </c>
    </row>
    <row r="464" spans="1:8" s="905" customFormat="1" ht="15.75" thickBot="1">
      <c r="A464" s="1293"/>
      <c r="B464" s="1279">
        <v>85120</v>
      </c>
      <c r="C464" s="1280" t="s">
        <v>644</v>
      </c>
      <c r="D464" s="1281"/>
      <c r="E464" s="1025">
        <f>E465+E466</f>
        <v>0</v>
      </c>
      <c r="F464" s="1025">
        <f t="shared" ref="F464:G464" si="97">F465+F466</f>
        <v>0</v>
      </c>
      <c r="G464" s="1026">
        <f t="shared" si="97"/>
        <v>40</v>
      </c>
      <c r="H464" s="1027"/>
    </row>
    <row r="465" spans="1:8" s="905" customFormat="1" ht="16.5" customHeight="1">
      <c r="A465" s="1293"/>
      <c r="B465" s="4276" t="s">
        <v>582</v>
      </c>
      <c r="C465" s="4277"/>
      <c r="D465" s="1283"/>
      <c r="E465" s="761">
        <v>0</v>
      </c>
      <c r="F465" s="761">
        <v>0</v>
      </c>
      <c r="G465" s="762">
        <v>0</v>
      </c>
      <c r="H465" s="763"/>
    </row>
    <row r="466" spans="1:8" s="905" customFormat="1">
      <c r="A466" s="1293"/>
      <c r="B466" s="4282" t="s">
        <v>416</v>
      </c>
      <c r="C466" s="4296"/>
      <c r="D466" s="1295"/>
      <c r="E466" s="995">
        <f>E467</f>
        <v>0</v>
      </c>
      <c r="F466" s="995">
        <f t="shared" ref="F466:G466" si="98">F467</f>
        <v>0</v>
      </c>
      <c r="G466" s="996">
        <f t="shared" si="98"/>
        <v>40</v>
      </c>
      <c r="H466" s="794"/>
    </row>
    <row r="467" spans="1:8" s="905" customFormat="1" ht="26.25" thickBot="1">
      <c r="A467" s="1293"/>
      <c r="B467" s="1302"/>
      <c r="C467" s="1287" t="s">
        <v>640</v>
      </c>
      <c r="D467" s="1303">
        <v>6660</v>
      </c>
      <c r="E467" s="766">
        <v>0</v>
      </c>
      <c r="F467" s="766">
        <v>0</v>
      </c>
      <c r="G467" s="767">
        <v>40</v>
      </c>
      <c r="H467" s="1017"/>
    </row>
    <row r="468" spans="1:8" s="905" customFormat="1" ht="15.75" thickBot="1">
      <c r="A468" s="1304"/>
      <c r="B468" s="1279">
        <v>85141</v>
      </c>
      <c r="C468" s="1280" t="s">
        <v>184</v>
      </c>
      <c r="D468" s="1281"/>
      <c r="E468" s="1025">
        <f t="shared" ref="E468:G468" si="99">SUM(E469,E470)</f>
        <v>0</v>
      </c>
      <c r="F468" s="1025">
        <f t="shared" si="99"/>
        <v>1170000</v>
      </c>
      <c r="G468" s="1026">
        <f t="shared" si="99"/>
        <v>1170000</v>
      </c>
      <c r="H468" s="1027">
        <f t="shared" si="94"/>
        <v>1</v>
      </c>
    </row>
    <row r="469" spans="1:8" s="1177" customFormat="1">
      <c r="A469" s="1304"/>
      <c r="B469" s="4288" t="s">
        <v>582</v>
      </c>
      <c r="C469" s="4350"/>
      <c r="D469" s="1289"/>
      <c r="E469" s="982">
        <v>0</v>
      </c>
      <c r="F469" s="982">
        <v>0</v>
      </c>
      <c r="G469" s="983">
        <v>0</v>
      </c>
      <c r="H469" s="984"/>
    </row>
    <row r="470" spans="1:8" ht="12.75" customHeight="1">
      <c r="A470" s="1304"/>
      <c r="B470" s="4285" t="s">
        <v>416</v>
      </c>
      <c r="C470" s="4295"/>
      <c r="D470" s="1295"/>
      <c r="E470" s="995">
        <f>E471+E472</f>
        <v>0</v>
      </c>
      <c r="F470" s="995">
        <f>F471+F472</f>
        <v>1170000</v>
      </c>
      <c r="G470" s="996">
        <f>G471+G472</f>
        <v>1170000</v>
      </c>
      <c r="H470" s="794">
        <f t="shared" si="94"/>
        <v>1</v>
      </c>
    </row>
    <row r="471" spans="1:8" ht="51">
      <c r="A471" s="1304"/>
      <c r="B471" s="4270"/>
      <c r="C471" s="1305" t="s">
        <v>645</v>
      </c>
      <c r="D471" s="833">
        <v>6300</v>
      </c>
      <c r="E471" s="772">
        <v>0</v>
      </c>
      <c r="F471" s="772">
        <v>250000</v>
      </c>
      <c r="G471" s="773">
        <v>250000</v>
      </c>
      <c r="H471" s="768">
        <f t="shared" si="94"/>
        <v>1</v>
      </c>
    </row>
    <row r="472" spans="1:8" ht="51.75" thickBot="1">
      <c r="A472" s="1304"/>
      <c r="B472" s="4351"/>
      <c r="C472" s="1306" t="s">
        <v>643</v>
      </c>
      <c r="D472" s="1005">
        <v>6510</v>
      </c>
      <c r="E472" s="992">
        <v>0</v>
      </c>
      <c r="F472" s="992">
        <v>920000</v>
      </c>
      <c r="G472" s="805">
        <v>920000</v>
      </c>
      <c r="H472" s="768">
        <f t="shared" si="94"/>
        <v>1</v>
      </c>
    </row>
    <row r="473" spans="1:8" ht="44.25" hidden="1" customHeight="1" thickBot="1">
      <c r="A473" s="1293"/>
      <c r="B473" s="1307">
        <v>85148</v>
      </c>
      <c r="C473" s="1085" t="s">
        <v>646</v>
      </c>
      <c r="D473" s="1086"/>
      <c r="E473" s="1087">
        <f>E474+E475</f>
        <v>0</v>
      </c>
      <c r="F473" s="1087">
        <f>F474+F475</f>
        <v>0</v>
      </c>
      <c r="G473" s="1088">
        <f>G474+G475</f>
        <v>0</v>
      </c>
      <c r="H473" s="1089"/>
    </row>
    <row r="474" spans="1:8" ht="15.75" hidden="1" customHeight="1">
      <c r="A474" s="1293"/>
      <c r="B474" s="4259" t="s">
        <v>370</v>
      </c>
      <c r="C474" s="4260"/>
      <c r="D474" s="1308"/>
      <c r="E474" s="940">
        <v>0</v>
      </c>
      <c r="F474" s="940">
        <v>0</v>
      </c>
      <c r="G474" s="941">
        <v>0</v>
      </c>
      <c r="H474" s="942"/>
    </row>
    <row r="475" spans="1:8" s="1177" customFormat="1" ht="15.75" hidden="1" thickBot="1">
      <c r="A475" s="1293"/>
      <c r="B475" s="4352" t="s">
        <v>375</v>
      </c>
      <c r="C475" s="4353"/>
      <c r="D475" s="1309"/>
      <c r="E475" s="1310">
        <f>E476</f>
        <v>0</v>
      </c>
      <c r="F475" s="1310">
        <f t="shared" ref="F475:G475" si="100">F476</f>
        <v>0</v>
      </c>
      <c r="G475" s="1311">
        <f t="shared" si="100"/>
        <v>0</v>
      </c>
      <c r="H475" s="1143"/>
    </row>
    <row r="476" spans="1:8" ht="12.75" hidden="1" customHeight="1" thickBot="1">
      <c r="A476" s="1293"/>
      <c r="B476" s="1312"/>
      <c r="C476" s="1313" t="s">
        <v>640</v>
      </c>
      <c r="D476" s="1314">
        <v>6690</v>
      </c>
      <c r="E476" s="687">
        <v>0</v>
      </c>
      <c r="F476" s="687">
        <v>0</v>
      </c>
      <c r="G476" s="688">
        <v>0</v>
      </c>
      <c r="H476" s="689"/>
    </row>
    <row r="477" spans="1:8" ht="56.25" hidden="1" customHeight="1" thickBot="1">
      <c r="A477" s="1293"/>
      <c r="B477" s="1307">
        <v>85153</v>
      </c>
      <c r="C477" s="1315" t="s">
        <v>43</v>
      </c>
      <c r="D477" s="1086"/>
      <c r="E477" s="1087">
        <f>SUM(E478,E481)</f>
        <v>0</v>
      </c>
      <c r="F477" s="1087">
        <f>F478+F481</f>
        <v>0</v>
      </c>
      <c r="G477" s="1088">
        <f>G478+G481</f>
        <v>0</v>
      </c>
      <c r="H477" s="1089"/>
    </row>
    <row r="478" spans="1:8" ht="43.5" hidden="1" customHeight="1">
      <c r="A478" s="1293"/>
      <c r="B478" s="4344" t="s">
        <v>370</v>
      </c>
      <c r="C478" s="4345"/>
      <c r="D478" s="1308"/>
      <c r="E478" s="940">
        <f>SUM(E479:E480)</f>
        <v>0</v>
      </c>
      <c r="F478" s="940">
        <f t="shared" ref="F478:G478" si="101">SUM(F479:F480)</f>
        <v>0</v>
      </c>
      <c r="G478" s="941">
        <f t="shared" si="101"/>
        <v>0</v>
      </c>
      <c r="H478" s="942"/>
    </row>
    <row r="479" spans="1:8" ht="15.75" hidden="1" customHeight="1">
      <c r="A479" s="1293"/>
      <c r="B479" s="4346"/>
      <c r="C479" s="1316" t="s">
        <v>647</v>
      </c>
      <c r="D479" s="1317" t="s">
        <v>392</v>
      </c>
      <c r="E479" s="850">
        <v>0</v>
      </c>
      <c r="F479" s="850">
        <v>0</v>
      </c>
      <c r="G479" s="851">
        <v>0</v>
      </c>
      <c r="H479" s="548"/>
    </row>
    <row r="480" spans="1:8" s="1177" customFormat="1" ht="39" hidden="1" thickBot="1">
      <c r="A480" s="1293"/>
      <c r="B480" s="4347"/>
      <c r="C480" s="1318" t="s">
        <v>648</v>
      </c>
      <c r="D480" s="1319">
        <v>2910</v>
      </c>
      <c r="E480" s="1147">
        <v>0</v>
      </c>
      <c r="F480" s="1147">
        <v>0</v>
      </c>
      <c r="G480" s="1148">
        <v>0</v>
      </c>
      <c r="H480" s="1149"/>
    </row>
    <row r="481" spans="1:8" ht="12.75" hidden="1" customHeight="1" thickBot="1">
      <c r="A481" s="1320"/>
      <c r="B481" s="4348" t="s">
        <v>375</v>
      </c>
      <c r="C481" s="4349"/>
      <c r="D481" s="1321"/>
      <c r="E481" s="853">
        <v>0</v>
      </c>
      <c r="F481" s="853">
        <v>0</v>
      </c>
      <c r="G481" s="854">
        <f t="shared" ref="G481" si="102">E481+F481</f>
        <v>0</v>
      </c>
      <c r="H481" s="855"/>
    </row>
    <row r="482" spans="1:8" ht="42" hidden="1" customHeight="1" thickBot="1">
      <c r="A482" s="1322"/>
      <c r="B482" s="1323">
        <v>85154</v>
      </c>
      <c r="C482" s="1324" t="s">
        <v>649</v>
      </c>
      <c r="D482" s="1086"/>
      <c r="E482" s="1087">
        <f>SUM(E483,E486)</f>
        <v>0</v>
      </c>
      <c r="F482" s="1087">
        <f>F483+F486</f>
        <v>0</v>
      </c>
      <c r="G482" s="1088">
        <f>G483+G486</f>
        <v>0</v>
      </c>
      <c r="H482" s="1089"/>
    </row>
    <row r="483" spans="1:8" ht="15.75" hidden="1" customHeight="1">
      <c r="A483" s="1293"/>
      <c r="B483" s="4259" t="s">
        <v>370</v>
      </c>
      <c r="C483" s="4260"/>
      <c r="D483" s="1308"/>
      <c r="E483" s="940">
        <f>SUM(E484:E485)</f>
        <v>0</v>
      </c>
      <c r="F483" s="940">
        <f t="shared" ref="F483:G483" si="103">SUM(F484:F485)</f>
        <v>0</v>
      </c>
      <c r="G483" s="941">
        <f t="shared" si="103"/>
        <v>0</v>
      </c>
      <c r="H483" s="942"/>
    </row>
    <row r="484" spans="1:8" s="1177" customFormat="1" ht="51.75" hidden="1" thickBot="1">
      <c r="A484" s="1293"/>
      <c r="B484" s="4346"/>
      <c r="C484" s="1316" t="s">
        <v>650</v>
      </c>
      <c r="D484" s="1317" t="s">
        <v>392</v>
      </c>
      <c r="E484" s="850">
        <v>0</v>
      </c>
      <c r="F484" s="850">
        <v>0</v>
      </c>
      <c r="G484" s="851">
        <v>0</v>
      </c>
      <c r="H484" s="548"/>
    </row>
    <row r="485" spans="1:8" ht="12.75" hidden="1" customHeight="1">
      <c r="A485" s="1293"/>
      <c r="B485" s="4347"/>
      <c r="C485" s="1318" t="s">
        <v>651</v>
      </c>
      <c r="D485" s="1319">
        <v>2910</v>
      </c>
      <c r="E485" s="1147">
        <v>0</v>
      </c>
      <c r="F485" s="1147">
        <v>0</v>
      </c>
      <c r="G485" s="1148">
        <v>0</v>
      </c>
      <c r="H485" s="1149"/>
    </row>
    <row r="486" spans="1:8" ht="48" hidden="1" customHeight="1" thickBot="1">
      <c r="A486" s="1293"/>
      <c r="B486" s="4348" t="s">
        <v>375</v>
      </c>
      <c r="C486" s="4349"/>
      <c r="D486" s="1321"/>
      <c r="E486" s="853">
        <v>0</v>
      </c>
      <c r="F486" s="853">
        <v>0</v>
      </c>
      <c r="G486" s="854">
        <f t="shared" ref="G486" si="104">E486+F486</f>
        <v>0</v>
      </c>
      <c r="H486" s="855"/>
    </row>
    <row r="487" spans="1:8" ht="39" thickBot="1">
      <c r="A487" s="1293"/>
      <c r="B487" s="1325">
        <v>85156</v>
      </c>
      <c r="C487" s="1262" t="s">
        <v>282</v>
      </c>
      <c r="D487" s="1109"/>
      <c r="E487" s="532">
        <f>SUM(E488,E490)</f>
        <v>25000</v>
      </c>
      <c r="F487" s="532">
        <f>F488+F490</f>
        <v>11610</v>
      </c>
      <c r="G487" s="533">
        <f>G488+G490</f>
        <v>11048.4</v>
      </c>
      <c r="H487" s="534">
        <f t="shared" si="94"/>
        <v>0.95162790697674415</v>
      </c>
    </row>
    <row r="488" spans="1:8" s="1175" customFormat="1">
      <c r="A488" s="1293"/>
      <c r="B488" s="4263" t="s">
        <v>370</v>
      </c>
      <c r="C488" s="4264"/>
      <c r="D488" s="1326"/>
      <c r="E488" s="537">
        <f t="shared" ref="E488" si="105">SUM(E489)</f>
        <v>25000</v>
      </c>
      <c r="F488" s="537">
        <f>F489</f>
        <v>11610</v>
      </c>
      <c r="G488" s="538">
        <f>G489</f>
        <v>11048.4</v>
      </c>
      <c r="H488" s="744">
        <f t="shared" si="94"/>
        <v>0.95162790697674415</v>
      </c>
    </row>
    <row r="489" spans="1:8" s="1175" customFormat="1" ht="38.25">
      <c r="A489" s="1293"/>
      <c r="B489" s="1327"/>
      <c r="C489" s="1328" t="s">
        <v>394</v>
      </c>
      <c r="D489" s="1114">
        <v>2210</v>
      </c>
      <c r="E489" s="545">
        <v>25000</v>
      </c>
      <c r="F489" s="545">
        <v>11610</v>
      </c>
      <c r="G489" s="546">
        <v>11048.4</v>
      </c>
      <c r="H489" s="547">
        <f t="shared" si="94"/>
        <v>0.95162790697674415</v>
      </c>
    </row>
    <row r="490" spans="1:8" s="1175" customFormat="1" ht="15.75" thickBot="1">
      <c r="A490" s="1320"/>
      <c r="B490" s="4268" t="s">
        <v>375</v>
      </c>
      <c r="C490" s="4269"/>
      <c r="D490" s="1115"/>
      <c r="E490" s="577">
        <v>0</v>
      </c>
      <c r="F490" s="577">
        <v>0</v>
      </c>
      <c r="G490" s="578">
        <f t="shared" ref="G490:G510" si="106">E490+F490</f>
        <v>0</v>
      </c>
      <c r="H490" s="579"/>
    </row>
    <row r="491" spans="1:8" s="1175" customFormat="1" ht="17.25" customHeight="1" thickBot="1">
      <c r="A491" s="1329"/>
      <c r="B491" s="1279">
        <v>85157</v>
      </c>
      <c r="C491" s="1280" t="s">
        <v>652</v>
      </c>
      <c r="D491" s="1281"/>
      <c r="E491" s="757">
        <f>SUM(E492,E494)</f>
        <v>0</v>
      </c>
      <c r="F491" s="757">
        <f>F492+F494</f>
        <v>14653338</v>
      </c>
      <c r="G491" s="758">
        <f>G492+G494</f>
        <v>13905656.619999999</v>
      </c>
      <c r="H491" s="759">
        <f t="shared" ref="H491:H493" si="107">G491/F491</f>
        <v>0.948975354284464</v>
      </c>
    </row>
    <row r="492" spans="1:8" s="1175" customFormat="1">
      <c r="A492" s="1304"/>
      <c r="B492" s="4276" t="s">
        <v>370</v>
      </c>
      <c r="C492" s="4277"/>
      <c r="D492" s="1283"/>
      <c r="E492" s="982">
        <f t="shared" ref="E492" si="108">SUM(E493)</f>
        <v>0</v>
      </c>
      <c r="F492" s="982">
        <f>F493</f>
        <v>14653338</v>
      </c>
      <c r="G492" s="983">
        <f>G493</f>
        <v>13905656.619999999</v>
      </c>
      <c r="H492" s="984">
        <f t="shared" si="107"/>
        <v>0.948975354284464</v>
      </c>
    </row>
    <row r="493" spans="1:8" s="1175" customFormat="1" ht="38.25">
      <c r="A493" s="1304"/>
      <c r="B493" s="1330"/>
      <c r="C493" s="1331" t="s">
        <v>394</v>
      </c>
      <c r="D493" s="1288">
        <v>2210</v>
      </c>
      <c r="E493" s="772">
        <v>0</v>
      </c>
      <c r="F493" s="772">
        <v>14653338</v>
      </c>
      <c r="G493" s="773">
        <v>13905656.619999999</v>
      </c>
      <c r="H493" s="768">
        <f t="shared" si="107"/>
        <v>0.948975354284464</v>
      </c>
    </row>
    <row r="494" spans="1:8" s="1175" customFormat="1" ht="15" customHeight="1" thickBot="1">
      <c r="A494" s="1304"/>
      <c r="B494" s="4278" t="s">
        <v>375</v>
      </c>
      <c r="C494" s="4340"/>
      <c r="D494" s="1332"/>
      <c r="E494" s="1007">
        <v>0</v>
      </c>
      <c r="F494" s="1007">
        <v>0</v>
      </c>
      <c r="G494" s="1008">
        <f t="shared" ref="G494" si="109">E494+F494</f>
        <v>0</v>
      </c>
      <c r="H494" s="1009"/>
    </row>
    <row r="495" spans="1:8" ht="16.5" customHeight="1" thickBot="1">
      <c r="A495" s="1304"/>
      <c r="B495" s="1333">
        <v>85195</v>
      </c>
      <c r="C495" s="1280" t="s">
        <v>95</v>
      </c>
      <c r="D495" s="1281"/>
      <c r="E495" s="757">
        <f>SUM(E496,E503)</f>
        <v>30000</v>
      </c>
      <c r="F495" s="757">
        <f>F496+F503</f>
        <v>109104</v>
      </c>
      <c r="G495" s="758">
        <f>G496+G503</f>
        <v>108310.54</v>
      </c>
      <c r="H495" s="759">
        <f t="shared" si="94"/>
        <v>0.99272748936794242</v>
      </c>
    </row>
    <row r="496" spans="1:8" ht="15.75" customHeight="1">
      <c r="A496" s="1304"/>
      <c r="B496" s="4276" t="s">
        <v>370</v>
      </c>
      <c r="C496" s="4277"/>
      <c r="D496" s="1334"/>
      <c r="E496" s="982">
        <f>SUM(E497:E502)</f>
        <v>30000</v>
      </c>
      <c r="F496" s="982">
        <f t="shared" ref="F496:G496" si="110">SUM(F497:F502)</f>
        <v>76974</v>
      </c>
      <c r="G496" s="1335">
        <f t="shared" si="110"/>
        <v>76180.539999999994</v>
      </c>
      <c r="H496" s="984">
        <f t="shared" si="94"/>
        <v>0.98969184399927235</v>
      </c>
    </row>
    <row r="497" spans="1:8" ht="16.5" hidden="1" customHeight="1">
      <c r="A497" s="1304"/>
      <c r="B497" s="4341"/>
      <c r="C497" s="1336"/>
      <c r="D497" s="1337"/>
      <c r="E497" s="772">
        <v>0</v>
      </c>
      <c r="F497" s="772">
        <v>0</v>
      </c>
      <c r="G497" s="1338"/>
      <c r="H497" s="768"/>
    </row>
    <row r="498" spans="1:8" ht="76.5">
      <c r="A498" s="1304"/>
      <c r="B498" s="4342"/>
      <c r="C498" s="1336" t="s">
        <v>653</v>
      </c>
      <c r="D498" s="1339" t="s">
        <v>493</v>
      </c>
      <c r="E498" s="772">
        <v>0</v>
      </c>
      <c r="F498" s="772">
        <v>42</v>
      </c>
      <c r="G498" s="1338">
        <v>42</v>
      </c>
      <c r="H498" s="768">
        <f t="shared" ref="H498:H500" si="111">G498/F498</f>
        <v>1</v>
      </c>
    </row>
    <row r="499" spans="1:8" ht="38.25">
      <c r="A499" s="1304"/>
      <c r="B499" s="4342"/>
      <c r="C499" s="1340" t="s">
        <v>654</v>
      </c>
      <c r="D499" s="1341">
        <v>2180</v>
      </c>
      <c r="E499" s="772">
        <v>0</v>
      </c>
      <c r="F499" s="772">
        <v>4859</v>
      </c>
      <c r="G499" s="1338">
        <v>4846.2</v>
      </c>
      <c r="H499" s="768">
        <f t="shared" si="111"/>
        <v>0.99736571310969335</v>
      </c>
    </row>
    <row r="500" spans="1:8" ht="38.25">
      <c r="A500" s="1304"/>
      <c r="B500" s="4342"/>
      <c r="C500" s="1336" t="s">
        <v>394</v>
      </c>
      <c r="D500" s="1341">
        <v>2210</v>
      </c>
      <c r="E500" s="772">
        <v>30000</v>
      </c>
      <c r="F500" s="772">
        <v>49400</v>
      </c>
      <c r="G500" s="1338">
        <v>48620.49</v>
      </c>
      <c r="H500" s="768">
        <f t="shared" si="111"/>
        <v>0.98422044534412956</v>
      </c>
    </row>
    <row r="501" spans="1:8" ht="89.25">
      <c r="A501" s="1304"/>
      <c r="B501" s="4342"/>
      <c r="C501" s="1336" t="s">
        <v>655</v>
      </c>
      <c r="D501" s="1288">
        <v>2917</v>
      </c>
      <c r="E501" s="772">
        <v>0</v>
      </c>
      <c r="F501" s="772">
        <v>4215</v>
      </c>
      <c r="G501" s="1338">
        <v>4214.6499999999996</v>
      </c>
      <c r="H501" s="768">
        <f t="shared" si="94"/>
        <v>0.99991696322657164</v>
      </c>
    </row>
    <row r="502" spans="1:8" ht="68.25" customHeight="1">
      <c r="A502" s="1304"/>
      <c r="B502" s="4343"/>
      <c r="C502" s="1336" t="s">
        <v>656</v>
      </c>
      <c r="D502" s="1288">
        <v>2957</v>
      </c>
      <c r="E502" s="772">
        <v>0</v>
      </c>
      <c r="F502" s="772">
        <v>18458</v>
      </c>
      <c r="G502" s="1338">
        <v>18457.2</v>
      </c>
      <c r="H502" s="1036">
        <f t="shared" si="94"/>
        <v>0.99995665835951897</v>
      </c>
    </row>
    <row r="503" spans="1:8" ht="16.5" customHeight="1">
      <c r="A503" s="1304"/>
      <c r="B503" s="4282" t="s">
        <v>375</v>
      </c>
      <c r="C503" s="4296"/>
      <c r="D503" s="1342"/>
      <c r="E503" s="995">
        <f>E504</f>
        <v>0</v>
      </c>
      <c r="F503" s="995">
        <f t="shared" ref="F503:G503" si="112">F504</f>
        <v>32130</v>
      </c>
      <c r="G503" s="1343">
        <f t="shared" si="112"/>
        <v>32130</v>
      </c>
      <c r="H503" s="794">
        <f t="shared" si="94"/>
        <v>1</v>
      </c>
    </row>
    <row r="504" spans="1:8" ht="39.75" customHeight="1" thickBot="1">
      <c r="A504" s="1344"/>
      <c r="B504" s="1345"/>
      <c r="C504" s="1346" t="s">
        <v>657</v>
      </c>
      <c r="D504" s="1347">
        <v>6697</v>
      </c>
      <c r="E504" s="782">
        <v>0</v>
      </c>
      <c r="F504" s="782">
        <v>32130</v>
      </c>
      <c r="G504" s="1348">
        <v>32130</v>
      </c>
      <c r="H504" s="820">
        <f t="shared" si="94"/>
        <v>1</v>
      </c>
    </row>
    <row r="505" spans="1:8" ht="16.5" customHeight="1" thickBot="1">
      <c r="A505" s="317">
        <v>852</v>
      </c>
      <c r="B505" s="1103"/>
      <c r="C505" s="1104" t="s">
        <v>49</v>
      </c>
      <c r="D505" s="1349"/>
      <c r="E505" s="524">
        <f>SUM(E506,E511,E523)</f>
        <v>2056178</v>
      </c>
      <c r="F505" s="524">
        <f>SUM(F506,F511,F523)</f>
        <v>2545914</v>
      </c>
      <c r="G505" s="525">
        <f>SUM(G506,G511,G523)</f>
        <v>2867061.8300000005</v>
      </c>
      <c r="H505" s="526">
        <f t="shared" si="94"/>
        <v>1.1261424502163075</v>
      </c>
    </row>
    <row r="506" spans="1:8" ht="15.75" customHeight="1" thickBot="1">
      <c r="A506" s="1322"/>
      <c r="B506" s="1107">
        <v>85205</v>
      </c>
      <c r="C506" s="1108" t="s">
        <v>51</v>
      </c>
      <c r="D506" s="1350"/>
      <c r="E506" s="532">
        <f>E507+E510</f>
        <v>100000</v>
      </c>
      <c r="F506" s="532">
        <f>F507+F510</f>
        <v>60720</v>
      </c>
      <c r="G506" s="533">
        <f>G507+G510</f>
        <v>60370</v>
      </c>
      <c r="H506" s="534">
        <f t="shared" si="94"/>
        <v>0.99423583662714099</v>
      </c>
    </row>
    <row r="507" spans="1:8">
      <c r="A507" s="1293"/>
      <c r="B507" s="4332" t="s">
        <v>370</v>
      </c>
      <c r="C507" s="4258"/>
      <c r="D507" s="1351"/>
      <c r="E507" s="537">
        <f>SUM(E508,E509)</f>
        <v>100000</v>
      </c>
      <c r="F507" s="537">
        <f t="shared" ref="F507:G507" si="113">SUM(F508,F509)</f>
        <v>60720</v>
      </c>
      <c r="G507" s="538">
        <f t="shared" si="113"/>
        <v>60370</v>
      </c>
      <c r="H507" s="744">
        <f t="shared" si="94"/>
        <v>0.99423583662714099</v>
      </c>
    </row>
    <row r="508" spans="1:8" ht="25.5">
      <c r="A508" s="1293"/>
      <c r="B508" s="1352"/>
      <c r="C508" s="1353" t="s">
        <v>658</v>
      </c>
      <c r="D508" s="1354">
        <v>2230</v>
      </c>
      <c r="E508" s="545">
        <v>100000</v>
      </c>
      <c r="F508" s="545">
        <v>60720</v>
      </c>
      <c r="G508" s="546">
        <v>60370</v>
      </c>
      <c r="H508" s="547">
        <f t="shared" si="94"/>
        <v>0.99423583662714099</v>
      </c>
    </row>
    <row r="509" spans="1:8" ht="14.25" hidden="1" customHeight="1">
      <c r="A509" s="1293"/>
      <c r="B509" s="1352"/>
      <c r="C509" s="1353" t="s">
        <v>659</v>
      </c>
      <c r="D509" s="1354">
        <v>2910</v>
      </c>
      <c r="E509" s="545">
        <v>0</v>
      </c>
      <c r="F509" s="850">
        <v>0</v>
      </c>
      <c r="G509" s="851">
        <v>0</v>
      </c>
      <c r="H509" s="548"/>
    </row>
    <row r="510" spans="1:8" s="1177" customFormat="1" ht="16.5" customHeight="1" thickBot="1">
      <c r="A510" s="1293"/>
      <c r="B510" s="4333" t="s">
        <v>375</v>
      </c>
      <c r="C510" s="4334"/>
      <c r="D510" s="1355"/>
      <c r="E510" s="577">
        <v>0</v>
      </c>
      <c r="F510" s="577">
        <v>0</v>
      </c>
      <c r="G510" s="578">
        <f t="shared" si="106"/>
        <v>0</v>
      </c>
      <c r="H510" s="855"/>
    </row>
    <row r="511" spans="1:8" ht="16.5" customHeight="1" thickBot="1">
      <c r="A511" s="1293"/>
      <c r="B511" s="1356">
        <v>85217</v>
      </c>
      <c r="C511" s="1357" t="s">
        <v>660</v>
      </c>
      <c r="D511" s="1350"/>
      <c r="E511" s="605">
        <f>SUM(E512,E522)</f>
        <v>345337</v>
      </c>
      <c r="F511" s="605">
        <f>SUM(F512,F522)</f>
        <v>348383</v>
      </c>
      <c r="G511" s="606">
        <f>SUM(G512,G522)</f>
        <v>315861.95000000007</v>
      </c>
      <c r="H511" s="607">
        <f t="shared" si="94"/>
        <v>0.90665144395679487</v>
      </c>
    </row>
    <row r="512" spans="1:8">
      <c r="A512" s="1293"/>
      <c r="B512" s="4263" t="s">
        <v>370</v>
      </c>
      <c r="C512" s="4264"/>
      <c r="D512" s="1358"/>
      <c r="E512" s="561">
        <f>SUM(E513:E521)</f>
        <v>345337</v>
      </c>
      <c r="F512" s="1215">
        <f t="shared" ref="F512:G512" si="114">SUM(F513:F521)</f>
        <v>348383</v>
      </c>
      <c r="G512" s="562">
        <f t="shared" si="114"/>
        <v>315861.95000000007</v>
      </c>
      <c r="H512" s="539">
        <f t="shared" si="94"/>
        <v>0.90665144395679487</v>
      </c>
    </row>
    <row r="513" spans="1:8">
      <c r="A513" s="1293"/>
      <c r="B513" s="4335"/>
      <c r="C513" s="4338" t="s">
        <v>661</v>
      </c>
      <c r="D513" s="1359" t="s">
        <v>179</v>
      </c>
      <c r="E513" s="545">
        <v>0</v>
      </c>
      <c r="F513" s="881">
        <v>0</v>
      </c>
      <c r="G513" s="546">
        <v>2100.94</v>
      </c>
      <c r="H513" s="548"/>
    </row>
    <row r="514" spans="1:8" ht="15" customHeight="1">
      <c r="A514" s="1293"/>
      <c r="B514" s="4336"/>
      <c r="C514" s="4339"/>
      <c r="D514" s="1359" t="s">
        <v>390</v>
      </c>
      <c r="E514" s="545">
        <v>0</v>
      </c>
      <c r="F514" s="881">
        <v>0</v>
      </c>
      <c r="G514" s="546">
        <v>1467</v>
      </c>
      <c r="H514" s="548"/>
    </row>
    <row r="515" spans="1:8" ht="15" customHeight="1">
      <c r="A515" s="1293"/>
      <c r="B515" s="4336"/>
      <c r="C515" s="4339"/>
      <c r="D515" s="1359" t="s">
        <v>180</v>
      </c>
      <c r="E515" s="545">
        <v>0</v>
      </c>
      <c r="F515" s="881">
        <v>0</v>
      </c>
      <c r="G515" s="546">
        <v>207.5</v>
      </c>
      <c r="H515" s="548"/>
    </row>
    <row r="516" spans="1:8">
      <c r="A516" s="1293"/>
      <c r="B516" s="4336"/>
      <c r="C516" s="4339"/>
      <c r="D516" s="1359" t="s">
        <v>372</v>
      </c>
      <c r="E516" s="545">
        <v>340356</v>
      </c>
      <c r="F516" s="881">
        <v>340356</v>
      </c>
      <c r="G516" s="546">
        <v>295345.51</v>
      </c>
      <c r="H516" s="547">
        <f t="shared" si="94"/>
        <v>0.86775467451727017</v>
      </c>
    </row>
    <row r="517" spans="1:8">
      <c r="A517" s="1293"/>
      <c r="B517" s="4336"/>
      <c r="C517" s="4339"/>
      <c r="D517" s="1136" t="s">
        <v>373</v>
      </c>
      <c r="E517" s="545">
        <v>2905</v>
      </c>
      <c r="F517" s="881">
        <v>2905</v>
      </c>
      <c r="G517" s="546">
        <v>4194.59</v>
      </c>
      <c r="H517" s="547">
        <f t="shared" si="94"/>
        <v>1.44392082616179</v>
      </c>
    </row>
    <row r="518" spans="1:8">
      <c r="A518" s="1293"/>
      <c r="B518" s="4336"/>
      <c r="C518" s="4339"/>
      <c r="D518" s="1359" t="s">
        <v>386</v>
      </c>
      <c r="E518" s="545">
        <v>0</v>
      </c>
      <c r="F518" s="881">
        <v>0</v>
      </c>
      <c r="G518" s="546">
        <v>746.15</v>
      </c>
      <c r="H518" s="548"/>
    </row>
    <row r="519" spans="1:8">
      <c r="A519" s="1293"/>
      <c r="B519" s="4336"/>
      <c r="C519" s="4339"/>
      <c r="D519" s="1359" t="s">
        <v>71</v>
      </c>
      <c r="E519" s="545">
        <v>2076</v>
      </c>
      <c r="F519" s="881">
        <v>5122</v>
      </c>
      <c r="G519" s="546">
        <v>11800.26</v>
      </c>
      <c r="H519" s="547">
        <f t="shared" si="94"/>
        <v>2.3038383443967199</v>
      </c>
    </row>
    <row r="520" spans="1:8" ht="45" hidden="1" customHeight="1">
      <c r="A520" s="1293"/>
      <c r="B520" s="4336"/>
      <c r="C520" s="1360" t="s">
        <v>662</v>
      </c>
      <c r="D520" s="1136" t="s">
        <v>392</v>
      </c>
      <c r="E520" s="545">
        <v>0</v>
      </c>
      <c r="F520" s="881">
        <v>0</v>
      </c>
      <c r="G520" s="546">
        <v>0</v>
      </c>
      <c r="H520" s="547"/>
    </row>
    <row r="521" spans="1:8" ht="45" hidden="1" customHeight="1">
      <c r="A521" s="1293"/>
      <c r="B521" s="4337"/>
      <c r="C521" s="1361" t="s">
        <v>663</v>
      </c>
      <c r="D521" s="1362" t="s">
        <v>201</v>
      </c>
      <c r="E521" s="557">
        <v>0</v>
      </c>
      <c r="F521" s="876">
        <v>0</v>
      </c>
      <c r="G521" s="558">
        <v>0</v>
      </c>
      <c r="H521" s="559"/>
    </row>
    <row r="522" spans="1:8" ht="15.75" thickBot="1">
      <c r="A522" s="1293"/>
      <c r="B522" s="4268" t="s">
        <v>375</v>
      </c>
      <c r="C522" s="4269"/>
      <c r="D522" s="1115"/>
      <c r="E522" s="750">
        <v>0</v>
      </c>
      <c r="F522" s="1363">
        <v>0</v>
      </c>
      <c r="G522" s="751">
        <f t="shared" ref="G522:G616" si="115">E522+F522</f>
        <v>0</v>
      </c>
      <c r="H522" s="752"/>
    </row>
    <row r="523" spans="1:8" ht="15.75" thickBot="1">
      <c r="A523" s="1293"/>
      <c r="B523" s="1134">
        <v>85295</v>
      </c>
      <c r="C523" s="1108" t="s">
        <v>95</v>
      </c>
      <c r="D523" s="1364"/>
      <c r="E523" s="532">
        <f>E524+E540</f>
        <v>1610841</v>
      </c>
      <c r="F523" s="532">
        <f>F524+F540</f>
        <v>2136811</v>
      </c>
      <c r="G523" s="533">
        <f>G524+G540</f>
        <v>2490829.8800000004</v>
      </c>
      <c r="H523" s="534">
        <f t="shared" si="94"/>
        <v>1.1656762717900648</v>
      </c>
    </row>
    <row r="524" spans="1:8">
      <c r="A524" s="1293"/>
      <c r="B524" s="4263" t="s">
        <v>370</v>
      </c>
      <c r="C524" s="4264"/>
      <c r="D524" s="1358"/>
      <c r="E524" s="537">
        <f>SUM(E525:E539)</f>
        <v>1610841</v>
      </c>
      <c r="F524" s="537">
        <f>SUM(F525:F539)</f>
        <v>2132851</v>
      </c>
      <c r="G524" s="538">
        <f>SUM(G525:G539)</f>
        <v>2482180.3600000003</v>
      </c>
      <c r="H524" s="744">
        <f t="shared" si="94"/>
        <v>1.1637851683028961</v>
      </c>
    </row>
    <row r="525" spans="1:8" ht="38.25">
      <c r="A525" s="1293"/>
      <c r="B525" s="1365"/>
      <c r="C525" s="1211" t="s">
        <v>664</v>
      </c>
      <c r="D525" s="4322">
        <v>2007</v>
      </c>
      <c r="E525" s="545">
        <v>622038</v>
      </c>
      <c r="F525" s="545">
        <v>628428</v>
      </c>
      <c r="G525" s="546">
        <v>628427.63</v>
      </c>
      <c r="H525" s="547">
        <f t="shared" si="94"/>
        <v>0.99999941122928959</v>
      </c>
    </row>
    <row r="526" spans="1:8" ht="38.25">
      <c r="A526" s="1293"/>
      <c r="B526" s="1231"/>
      <c r="C526" s="1366" t="s">
        <v>665</v>
      </c>
      <c r="D526" s="4323"/>
      <c r="E526" s="590">
        <v>158772</v>
      </c>
      <c r="F526" s="590">
        <v>277512</v>
      </c>
      <c r="G526" s="591">
        <v>277511.34999999998</v>
      </c>
      <c r="H526" s="547">
        <f t="shared" si="94"/>
        <v>0.99999765775894367</v>
      </c>
    </row>
    <row r="527" spans="1:8" ht="42.75" customHeight="1">
      <c r="A527" s="1293"/>
      <c r="B527" s="1231"/>
      <c r="C527" s="1122" t="s">
        <v>666</v>
      </c>
      <c r="D527" s="4322">
        <v>2009</v>
      </c>
      <c r="E527" s="545">
        <v>115563</v>
      </c>
      <c r="F527" s="545">
        <v>117215</v>
      </c>
      <c r="G527" s="546">
        <v>117215</v>
      </c>
      <c r="H527" s="547">
        <f t="shared" si="94"/>
        <v>1</v>
      </c>
    </row>
    <row r="528" spans="1:8" ht="39" thickBot="1">
      <c r="A528" s="1320"/>
      <c r="B528" s="1237"/>
      <c r="C528" s="1367" t="s">
        <v>667</v>
      </c>
      <c r="D528" s="4324"/>
      <c r="E528" s="732">
        <v>23963</v>
      </c>
      <c r="F528" s="732">
        <v>41884</v>
      </c>
      <c r="G528" s="733">
        <v>41883.550000000003</v>
      </c>
      <c r="H528" s="602">
        <f t="shared" si="94"/>
        <v>0.99998925604049282</v>
      </c>
    </row>
    <row r="529" spans="1:8" s="1175" customFormat="1" ht="38.25">
      <c r="A529" s="1322"/>
      <c r="B529" s="1241"/>
      <c r="C529" s="1368" t="s">
        <v>664</v>
      </c>
      <c r="D529" s="4330">
        <v>2057</v>
      </c>
      <c r="E529" s="738">
        <v>395050</v>
      </c>
      <c r="F529" s="738">
        <v>388669</v>
      </c>
      <c r="G529" s="739">
        <v>388668.86</v>
      </c>
      <c r="H529" s="740">
        <f t="shared" si="94"/>
        <v>0.99999963979633055</v>
      </c>
    </row>
    <row r="530" spans="1:8" s="1175" customFormat="1" ht="51">
      <c r="A530" s="1293"/>
      <c r="B530" s="1231"/>
      <c r="C530" s="1369" t="s">
        <v>668</v>
      </c>
      <c r="D530" s="4323"/>
      <c r="E530" s="557">
        <v>0</v>
      </c>
      <c r="F530" s="557">
        <v>66527</v>
      </c>
      <c r="G530" s="558">
        <v>66527.37</v>
      </c>
      <c r="H530" s="559">
        <f t="shared" si="94"/>
        <v>1.0000055616516601</v>
      </c>
    </row>
    <row r="531" spans="1:8" s="1175" customFormat="1" ht="38.25">
      <c r="A531" s="1293"/>
      <c r="B531" s="1231"/>
      <c r="C531" s="1370" t="s">
        <v>669</v>
      </c>
      <c r="D531" s="4323"/>
      <c r="E531" s="566">
        <v>192289</v>
      </c>
      <c r="F531" s="566">
        <v>265783</v>
      </c>
      <c r="G531" s="567">
        <v>265781.96999999997</v>
      </c>
      <c r="H531" s="568">
        <f t="shared" si="94"/>
        <v>0.99999612465808563</v>
      </c>
    </row>
    <row r="532" spans="1:8" s="1175" customFormat="1" ht="89.25">
      <c r="A532" s="1293"/>
      <c r="B532" s="1231"/>
      <c r="C532" s="1371" t="s">
        <v>670</v>
      </c>
      <c r="D532" s="1136" t="s">
        <v>517</v>
      </c>
      <c r="E532" s="545">
        <v>0</v>
      </c>
      <c r="F532" s="545">
        <v>0</v>
      </c>
      <c r="G532" s="546">
        <v>66883.67</v>
      </c>
      <c r="H532" s="547"/>
    </row>
    <row r="533" spans="1:8" s="1175" customFormat="1" ht="38.25">
      <c r="A533" s="1293"/>
      <c r="B533" s="1231"/>
      <c r="C533" s="1372" t="s">
        <v>671</v>
      </c>
      <c r="D533" s="4311" t="s">
        <v>528</v>
      </c>
      <c r="E533" s="545">
        <v>74145</v>
      </c>
      <c r="F533" s="545">
        <v>72495</v>
      </c>
      <c r="G533" s="546">
        <v>72494.97</v>
      </c>
      <c r="H533" s="547">
        <f t="shared" si="94"/>
        <v>0.99999958617835716</v>
      </c>
    </row>
    <row r="534" spans="1:8" s="1175" customFormat="1" ht="55.5" customHeight="1">
      <c r="A534" s="1293"/>
      <c r="B534" s="1231"/>
      <c r="C534" s="1372" t="s">
        <v>672</v>
      </c>
      <c r="D534" s="4312"/>
      <c r="E534" s="545">
        <v>0</v>
      </c>
      <c r="F534" s="545">
        <v>8281</v>
      </c>
      <c r="G534" s="546">
        <v>8278.91</v>
      </c>
      <c r="H534" s="547">
        <f t="shared" si="94"/>
        <v>0.99974761502234033</v>
      </c>
    </row>
    <row r="535" spans="1:8" s="1175" customFormat="1" ht="39.75" customHeight="1">
      <c r="A535" s="1293"/>
      <c r="B535" s="1231"/>
      <c r="C535" s="1372" t="s">
        <v>673</v>
      </c>
      <c r="D535" s="4331"/>
      <c r="E535" s="545">
        <v>29021</v>
      </c>
      <c r="F535" s="545">
        <v>41885</v>
      </c>
      <c r="G535" s="546">
        <v>41886.21</v>
      </c>
      <c r="H535" s="547">
        <f t="shared" si="94"/>
        <v>1.0000288886236122</v>
      </c>
    </row>
    <row r="536" spans="1:8" s="1175" customFormat="1" ht="65.25" customHeight="1">
      <c r="A536" s="1293"/>
      <c r="B536" s="1231"/>
      <c r="C536" s="1373" t="s">
        <v>633</v>
      </c>
      <c r="D536" s="1374" t="s">
        <v>634</v>
      </c>
      <c r="E536" s="1375">
        <v>0</v>
      </c>
      <c r="F536" s="590">
        <v>0</v>
      </c>
      <c r="G536" s="591">
        <v>16766.68</v>
      </c>
      <c r="H536" s="547"/>
    </row>
    <row r="537" spans="1:8" ht="20.100000000000001" customHeight="1">
      <c r="A537" s="1293"/>
      <c r="B537" s="1231"/>
      <c r="C537" s="4327" t="s">
        <v>674</v>
      </c>
      <c r="D537" s="1362" t="s">
        <v>675</v>
      </c>
      <c r="E537" s="590">
        <v>0</v>
      </c>
      <c r="F537" s="590">
        <v>4098</v>
      </c>
      <c r="G537" s="591">
        <v>4097.84</v>
      </c>
      <c r="H537" s="547">
        <f t="shared" si="94"/>
        <v>0.99996095656417772</v>
      </c>
    </row>
    <row r="538" spans="1:8" ht="22.5" customHeight="1" thickBot="1">
      <c r="A538" s="1320"/>
      <c r="B538" s="1237"/>
      <c r="C538" s="4328"/>
      <c r="D538" s="1270" t="s">
        <v>635</v>
      </c>
      <c r="E538" s="600">
        <v>0</v>
      </c>
      <c r="F538" s="600">
        <v>765</v>
      </c>
      <c r="G538" s="601">
        <v>764.33</v>
      </c>
      <c r="H538" s="602">
        <f t="shared" si="94"/>
        <v>0.99912418300653605</v>
      </c>
    </row>
    <row r="539" spans="1:8" ht="42" customHeight="1">
      <c r="A539" s="1293"/>
      <c r="B539" s="1376"/>
      <c r="C539" s="1150" t="s">
        <v>414</v>
      </c>
      <c r="D539" s="1377" t="s">
        <v>635</v>
      </c>
      <c r="E539" s="557">
        <v>0</v>
      </c>
      <c r="F539" s="557">
        <v>219309</v>
      </c>
      <c r="G539" s="558">
        <v>484992.02</v>
      </c>
      <c r="H539" s="559">
        <f t="shared" si="94"/>
        <v>2.2114551614388831</v>
      </c>
    </row>
    <row r="540" spans="1:8">
      <c r="A540" s="1293"/>
      <c r="B540" s="4310" t="s">
        <v>416</v>
      </c>
      <c r="C540" s="4290"/>
      <c r="D540" s="1378"/>
      <c r="E540" s="551">
        <f>SUM(E541:E544)</f>
        <v>0</v>
      </c>
      <c r="F540" s="551">
        <f>SUM(F541:F544)</f>
        <v>3960</v>
      </c>
      <c r="G540" s="552">
        <f t="shared" ref="G540" si="116">SUM(G541:G544)</f>
        <v>8649.52</v>
      </c>
      <c r="H540" s="553">
        <f t="shared" si="94"/>
        <v>2.1842222222222225</v>
      </c>
    </row>
    <row r="541" spans="1:8" ht="12" hidden="1" customHeight="1">
      <c r="A541" s="1293"/>
      <c r="B541" s="4265"/>
      <c r="C541" s="1379" t="s">
        <v>676</v>
      </c>
      <c r="D541" s="1380">
        <v>6207</v>
      </c>
      <c r="E541" s="557">
        <v>0</v>
      </c>
      <c r="F541" s="557">
        <v>0</v>
      </c>
      <c r="G541" s="558">
        <v>0</v>
      </c>
      <c r="H541" s="547" t="e">
        <f t="shared" si="94"/>
        <v>#DIV/0!</v>
      </c>
    </row>
    <row r="542" spans="1:8" s="1177" customFormat="1" ht="12" hidden="1" customHeight="1">
      <c r="A542" s="1293"/>
      <c r="B542" s="4266"/>
      <c r="C542" s="1381" t="s">
        <v>677</v>
      </c>
      <c r="D542" s="1382">
        <v>6209</v>
      </c>
      <c r="E542" s="1383">
        <v>0</v>
      </c>
      <c r="F542" s="545">
        <v>0</v>
      </c>
      <c r="G542" s="546">
        <v>0</v>
      </c>
      <c r="H542" s="547" t="e">
        <f t="shared" si="94"/>
        <v>#DIV/0!</v>
      </c>
    </row>
    <row r="543" spans="1:8" s="1177" customFormat="1" ht="63.75">
      <c r="A543" s="1293"/>
      <c r="B543" s="4266"/>
      <c r="C543" s="1373" t="s">
        <v>417</v>
      </c>
      <c r="D543" s="1159">
        <v>6669</v>
      </c>
      <c r="E543" s="881">
        <v>0</v>
      </c>
      <c r="F543" s="545">
        <v>0</v>
      </c>
      <c r="G543" s="1384">
        <v>2368.56</v>
      </c>
      <c r="H543" s="547"/>
    </row>
    <row r="544" spans="1:8" ht="39" thickBot="1">
      <c r="A544" s="1320"/>
      <c r="B544" s="4329"/>
      <c r="C544" s="1385" t="s">
        <v>678</v>
      </c>
      <c r="D544" s="1386">
        <v>6699</v>
      </c>
      <c r="E544" s="732">
        <v>0</v>
      </c>
      <c r="F544" s="732">
        <v>3960</v>
      </c>
      <c r="G544" s="733">
        <v>6280.96</v>
      </c>
      <c r="H544" s="1072">
        <f>G544/F544</f>
        <v>1.58610101010101</v>
      </c>
    </row>
    <row r="545" spans="1:8" ht="20.100000000000001" customHeight="1" thickBot="1">
      <c r="A545" s="317">
        <v>853</v>
      </c>
      <c r="B545" s="1103"/>
      <c r="C545" s="1104" t="s">
        <v>158</v>
      </c>
      <c r="D545" s="1105"/>
      <c r="E545" s="625">
        <f>SUM(E551,E555,E546,E577)</f>
        <v>9551838</v>
      </c>
      <c r="F545" s="625">
        <f>SUM(F551,F555,F546,F577)</f>
        <v>12253188</v>
      </c>
      <c r="G545" s="626">
        <f>SUM(G551,G555,G546,G577)</f>
        <v>11658003.57</v>
      </c>
      <c r="H545" s="1387">
        <f>G545/F545</f>
        <v>0.95142615701317901</v>
      </c>
    </row>
    <row r="546" spans="1:8" ht="20.100000000000001" customHeight="1" thickBot="1">
      <c r="A546" s="1388"/>
      <c r="B546" s="1107">
        <v>85311</v>
      </c>
      <c r="C546" s="1109" t="s">
        <v>679</v>
      </c>
      <c r="D546" s="1188"/>
      <c r="E546" s="532">
        <f>E547+E550</f>
        <v>0</v>
      </c>
      <c r="F546" s="532">
        <f>F547+F550</f>
        <v>0</v>
      </c>
      <c r="G546" s="533">
        <f>G547+G550</f>
        <v>1396.8</v>
      </c>
      <c r="H546" s="534"/>
    </row>
    <row r="547" spans="1:8" ht="16.5" customHeight="1">
      <c r="A547" s="1286"/>
      <c r="B547" s="4298" t="s">
        <v>370</v>
      </c>
      <c r="C547" s="4298"/>
      <c r="D547" s="1111"/>
      <c r="E547" s="537">
        <f>E549</f>
        <v>0</v>
      </c>
      <c r="F547" s="537">
        <f t="shared" ref="F547" si="117">F549</f>
        <v>0</v>
      </c>
      <c r="G547" s="538">
        <f>SUM(G548:G549)</f>
        <v>1396.8</v>
      </c>
      <c r="H547" s="744"/>
    </row>
    <row r="548" spans="1:8" ht="70.5" customHeight="1">
      <c r="A548" s="1286"/>
      <c r="B548" s="4299"/>
      <c r="C548" s="1389" t="s">
        <v>680</v>
      </c>
      <c r="D548" s="1136" t="s">
        <v>392</v>
      </c>
      <c r="E548" s="545">
        <v>0</v>
      </c>
      <c r="F548" s="545">
        <v>0</v>
      </c>
      <c r="G548" s="546">
        <v>12</v>
      </c>
      <c r="H548" s="547"/>
    </row>
    <row r="549" spans="1:8" ht="76.5">
      <c r="A549" s="1286"/>
      <c r="B549" s="4300"/>
      <c r="C549" s="1389" t="s">
        <v>681</v>
      </c>
      <c r="D549" s="1136" t="s">
        <v>201</v>
      </c>
      <c r="E549" s="545">
        <v>0</v>
      </c>
      <c r="F549" s="545">
        <v>0</v>
      </c>
      <c r="G549" s="546">
        <v>1384.8</v>
      </c>
      <c r="H549" s="547"/>
    </row>
    <row r="550" spans="1:8" ht="16.5" customHeight="1" thickBot="1">
      <c r="A550" s="1286"/>
      <c r="B550" s="4268" t="s">
        <v>375</v>
      </c>
      <c r="C550" s="4301"/>
      <c r="D550" s="1115"/>
      <c r="E550" s="577">
        <v>0</v>
      </c>
      <c r="F550" s="577">
        <v>0</v>
      </c>
      <c r="G550" s="578">
        <v>0</v>
      </c>
      <c r="H550" s="579"/>
    </row>
    <row r="551" spans="1:8" ht="15.75" thickBot="1">
      <c r="A551" s="1286"/>
      <c r="B551" s="1134">
        <v>85324</v>
      </c>
      <c r="C551" s="1109" t="s">
        <v>682</v>
      </c>
      <c r="D551" s="1188"/>
      <c r="E551" s="605">
        <f>E552+E554</f>
        <v>568402</v>
      </c>
      <c r="F551" s="605">
        <f>F552+F554</f>
        <v>568402</v>
      </c>
      <c r="G551" s="606">
        <f>G552+G554</f>
        <v>605693.25</v>
      </c>
      <c r="H551" s="607">
        <f t="shared" ref="H551:H639" si="118">G551/F551</f>
        <v>1.0656071759071923</v>
      </c>
    </row>
    <row r="552" spans="1:8" ht="13.5" customHeight="1">
      <c r="A552" s="1286"/>
      <c r="B552" s="4298" t="s">
        <v>370</v>
      </c>
      <c r="C552" s="4298"/>
      <c r="D552" s="1111"/>
      <c r="E552" s="537">
        <f>E553</f>
        <v>568402</v>
      </c>
      <c r="F552" s="537">
        <f t="shared" ref="F552:G552" si="119">F553</f>
        <v>568402</v>
      </c>
      <c r="G552" s="538">
        <f t="shared" si="119"/>
        <v>605693.25</v>
      </c>
      <c r="H552" s="744">
        <f t="shared" si="118"/>
        <v>1.0656071759071923</v>
      </c>
    </row>
    <row r="553" spans="1:8" ht="25.5">
      <c r="A553" s="1286"/>
      <c r="B553" s="1390"/>
      <c r="C553" s="1190" t="s">
        <v>683</v>
      </c>
      <c r="D553" s="1136" t="s">
        <v>71</v>
      </c>
      <c r="E553" s="545">
        <v>568402</v>
      </c>
      <c r="F553" s="545">
        <v>568402</v>
      </c>
      <c r="G553" s="546">
        <v>605693.25</v>
      </c>
      <c r="H553" s="1265">
        <f t="shared" si="118"/>
        <v>1.0656071759071923</v>
      </c>
    </row>
    <row r="554" spans="1:8" ht="15.75" thickBot="1">
      <c r="A554" s="1391"/>
      <c r="B554" s="4268" t="s">
        <v>375</v>
      </c>
      <c r="C554" s="4301"/>
      <c r="D554" s="1115"/>
      <c r="E554" s="577">
        <v>0</v>
      </c>
      <c r="F554" s="577">
        <v>0</v>
      </c>
      <c r="G554" s="578">
        <v>0</v>
      </c>
      <c r="H554" s="579"/>
    </row>
    <row r="555" spans="1:8" ht="15.75" thickBot="1">
      <c r="A555" s="1388"/>
      <c r="B555" s="1107">
        <v>85332</v>
      </c>
      <c r="C555" s="1108" t="s">
        <v>684</v>
      </c>
      <c r="D555" s="1109"/>
      <c r="E555" s="532">
        <f>SUM(E556,E576)</f>
        <v>8906490</v>
      </c>
      <c r="F555" s="532">
        <f>SUM(F556,F576)</f>
        <v>11156863</v>
      </c>
      <c r="G555" s="533">
        <f>SUM(G556,G576)</f>
        <v>10456258.52</v>
      </c>
      <c r="H555" s="534">
        <f t="shared" si="118"/>
        <v>0.93720416930816486</v>
      </c>
    </row>
    <row r="556" spans="1:8">
      <c r="A556" s="1286"/>
      <c r="B556" s="4263" t="s">
        <v>370</v>
      </c>
      <c r="C556" s="4264"/>
      <c r="D556" s="1326"/>
      <c r="E556" s="561">
        <f>SUM(E557:E575)</f>
        <v>8906490</v>
      </c>
      <c r="F556" s="561">
        <f>SUM(F557:F575)</f>
        <v>11156863</v>
      </c>
      <c r="G556" s="562">
        <f>SUM(G557:G575)</f>
        <v>10456258.52</v>
      </c>
      <c r="H556" s="539">
        <f t="shared" si="118"/>
        <v>0.93720416930816486</v>
      </c>
    </row>
    <row r="557" spans="1:8" ht="15" customHeight="1">
      <c r="A557" s="1286"/>
      <c r="B557" s="4299"/>
      <c r="C557" s="4307" t="s">
        <v>565</v>
      </c>
      <c r="D557" s="1377" t="s">
        <v>60</v>
      </c>
      <c r="E557" s="541">
        <v>0</v>
      </c>
      <c r="F557" s="541">
        <v>0</v>
      </c>
      <c r="G557" s="542">
        <v>300</v>
      </c>
      <c r="H557" s="632"/>
    </row>
    <row r="558" spans="1:8" ht="15" customHeight="1">
      <c r="A558" s="1286"/>
      <c r="B558" s="4326"/>
      <c r="C558" s="4308"/>
      <c r="D558" s="1377" t="s">
        <v>390</v>
      </c>
      <c r="E558" s="955">
        <v>0</v>
      </c>
      <c r="F558" s="955">
        <v>0</v>
      </c>
      <c r="G558" s="956">
        <v>49892.72</v>
      </c>
      <c r="H558" s="632"/>
    </row>
    <row r="559" spans="1:8">
      <c r="A559" s="1286"/>
      <c r="B559" s="4326"/>
      <c r="C559" s="4308"/>
      <c r="D559" s="1377" t="s">
        <v>180</v>
      </c>
      <c r="E559" s="955">
        <v>0</v>
      </c>
      <c r="F559" s="955">
        <v>0</v>
      </c>
      <c r="G559" s="956">
        <v>776.79</v>
      </c>
      <c r="H559" s="632"/>
    </row>
    <row r="560" spans="1:8">
      <c r="A560" s="1286"/>
      <c r="B560" s="4326"/>
      <c r="C560" s="4308"/>
      <c r="D560" s="1377" t="s">
        <v>392</v>
      </c>
      <c r="E560" s="955">
        <v>0</v>
      </c>
      <c r="F560" s="955">
        <v>111023</v>
      </c>
      <c r="G560" s="956">
        <v>125595.67</v>
      </c>
      <c r="H560" s="632">
        <f t="shared" ref="H560:H573" si="120">G560/F560</f>
        <v>1.131258117687326</v>
      </c>
    </row>
    <row r="561" spans="1:8" ht="16.5" customHeight="1">
      <c r="A561" s="1286"/>
      <c r="B561" s="4326"/>
      <c r="C561" s="4308"/>
      <c r="D561" s="1377" t="s">
        <v>386</v>
      </c>
      <c r="E561" s="955">
        <v>0</v>
      </c>
      <c r="F561" s="955">
        <v>0</v>
      </c>
      <c r="G561" s="956">
        <v>1.45</v>
      </c>
      <c r="H561" s="632"/>
    </row>
    <row r="562" spans="1:8" ht="15" customHeight="1">
      <c r="A562" s="1286"/>
      <c r="B562" s="4326"/>
      <c r="C562" s="4308"/>
      <c r="D562" s="1136" t="s">
        <v>374</v>
      </c>
      <c r="E562" s="541">
        <v>0</v>
      </c>
      <c r="F562" s="541">
        <v>0</v>
      </c>
      <c r="G562" s="542">
        <v>6240.75</v>
      </c>
      <c r="H562" s="632"/>
    </row>
    <row r="563" spans="1:8">
      <c r="A563" s="1286"/>
      <c r="B563" s="4326"/>
      <c r="C563" s="4308"/>
      <c r="D563" s="1377" t="s">
        <v>685</v>
      </c>
      <c r="E563" s="541">
        <v>0</v>
      </c>
      <c r="F563" s="541">
        <v>223</v>
      </c>
      <c r="G563" s="542">
        <v>221.6</v>
      </c>
      <c r="H563" s="632">
        <f t="shared" si="120"/>
        <v>0.99372197309417043</v>
      </c>
    </row>
    <row r="564" spans="1:8">
      <c r="A564" s="1286"/>
      <c r="B564" s="4326"/>
      <c r="C564" s="4308"/>
      <c r="D564" s="1377" t="s">
        <v>514</v>
      </c>
      <c r="E564" s="541">
        <v>0</v>
      </c>
      <c r="F564" s="541">
        <v>0</v>
      </c>
      <c r="G564" s="542">
        <v>40.22</v>
      </c>
      <c r="H564" s="632"/>
    </row>
    <row r="565" spans="1:8">
      <c r="A565" s="1286"/>
      <c r="B565" s="4326"/>
      <c r="C565" s="4308"/>
      <c r="D565" s="1377" t="s">
        <v>380</v>
      </c>
      <c r="E565" s="541">
        <v>0</v>
      </c>
      <c r="F565" s="541">
        <v>0</v>
      </c>
      <c r="G565" s="542">
        <v>1383.48</v>
      </c>
      <c r="H565" s="632"/>
    </row>
    <row r="566" spans="1:8">
      <c r="A566" s="1286"/>
      <c r="B566" s="4326"/>
      <c r="C566" s="4308"/>
      <c r="D566" s="1377" t="s">
        <v>686</v>
      </c>
      <c r="E566" s="541">
        <v>0</v>
      </c>
      <c r="F566" s="541">
        <v>0</v>
      </c>
      <c r="G566" s="542">
        <v>124.66</v>
      </c>
      <c r="H566" s="632"/>
    </row>
    <row r="567" spans="1:8">
      <c r="A567" s="1286"/>
      <c r="B567" s="4326"/>
      <c r="C567" s="4308"/>
      <c r="D567" s="1377" t="s">
        <v>71</v>
      </c>
      <c r="E567" s="566">
        <v>8834</v>
      </c>
      <c r="F567" s="566">
        <v>8834</v>
      </c>
      <c r="G567" s="567">
        <v>10922.92</v>
      </c>
      <c r="H567" s="632">
        <f t="shared" si="120"/>
        <v>1.2364636631197645</v>
      </c>
    </row>
    <row r="568" spans="1:8">
      <c r="A568" s="1286"/>
      <c r="B568" s="4326"/>
      <c r="C568" s="4308"/>
      <c r="D568" s="1136" t="s">
        <v>687</v>
      </c>
      <c r="E568" s="545">
        <v>0</v>
      </c>
      <c r="F568" s="545">
        <v>128706</v>
      </c>
      <c r="G568" s="546">
        <v>153785.25</v>
      </c>
      <c r="H568" s="632">
        <f t="shared" si="120"/>
        <v>1.1948568831289916</v>
      </c>
    </row>
    <row r="569" spans="1:8">
      <c r="A569" s="1286"/>
      <c r="B569" s="4326"/>
      <c r="C569" s="4309"/>
      <c r="D569" s="1136" t="s">
        <v>634</v>
      </c>
      <c r="E569" s="545">
        <v>0</v>
      </c>
      <c r="F569" s="545">
        <v>42902</v>
      </c>
      <c r="G569" s="546">
        <v>44502.78</v>
      </c>
      <c r="H569" s="632">
        <f t="shared" si="120"/>
        <v>1.0373124796046804</v>
      </c>
    </row>
    <row r="570" spans="1:8" ht="38.25">
      <c r="A570" s="1286"/>
      <c r="B570" s="4326"/>
      <c r="C570" s="1392" t="s">
        <v>688</v>
      </c>
      <c r="D570" s="1252" t="s">
        <v>689</v>
      </c>
      <c r="E570" s="545">
        <v>3413000</v>
      </c>
      <c r="F570" s="545">
        <v>5700000</v>
      </c>
      <c r="G570" s="546">
        <v>5366393.13</v>
      </c>
      <c r="H570" s="632">
        <f t="shared" si="120"/>
        <v>0.94147247894736841</v>
      </c>
    </row>
    <row r="571" spans="1:8" ht="38.25">
      <c r="A571" s="1286"/>
      <c r="B571" s="4326"/>
      <c r="C571" s="1392" t="s">
        <v>690</v>
      </c>
      <c r="D571" s="1359" t="s">
        <v>517</v>
      </c>
      <c r="E571" s="566">
        <v>4214656</v>
      </c>
      <c r="F571" s="566">
        <v>3088375</v>
      </c>
      <c r="G571" s="567">
        <v>2714950.66</v>
      </c>
      <c r="H571" s="632">
        <f t="shared" si="120"/>
        <v>0.87908711215445023</v>
      </c>
    </row>
    <row r="572" spans="1:8" ht="38.25">
      <c r="A572" s="1286"/>
      <c r="B572" s="4326"/>
      <c r="C572" s="1113" t="s">
        <v>394</v>
      </c>
      <c r="D572" s="1136" t="s">
        <v>266</v>
      </c>
      <c r="E572" s="590">
        <v>1000</v>
      </c>
      <c r="F572" s="590">
        <v>1000</v>
      </c>
      <c r="G572" s="591">
        <v>0</v>
      </c>
      <c r="H572" s="632">
        <f t="shared" si="120"/>
        <v>0</v>
      </c>
    </row>
    <row r="573" spans="1:8" ht="25.5">
      <c r="A573" s="1286"/>
      <c r="B573" s="4326"/>
      <c r="C573" s="1392" t="s">
        <v>691</v>
      </c>
      <c r="D573" s="1136" t="s">
        <v>32</v>
      </c>
      <c r="E573" s="545">
        <v>1269000</v>
      </c>
      <c r="F573" s="545">
        <v>2075800</v>
      </c>
      <c r="G573" s="546">
        <v>1981126.44</v>
      </c>
      <c r="H573" s="632">
        <f t="shared" si="120"/>
        <v>0.95439177184699875</v>
      </c>
    </row>
    <row r="574" spans="1:8" ht="51" hidden="1" customHeight="1">
      <c r="A574" s="1286"/>
      <c r="B574" s="4326"/>
      <c r="C574" s="1392" t="s">
        <v>692</v>
      </c>
      <c r="D574" s="1136" t="s">
        <v>687</v>
      </c>
      <c r="E574" s="545">
        <v>0</v>
      </c>
      <c r="F574" s="545">
        <v>0</v>
      </c>
      <c r="G574" s="546">
        <v>0</v>
      </c>
      <c r="H574" s="547"/>
    </row>
    <row r="575" spans="1:8" ht="51" hidden="1" customHeight="1">
      <c r="A575" s="1286"/>
      <c r="B575" s="4326"/>
      <c r="C575" s="1372" t="s">
        <v>692</v>
      </c>
      <c r="D575" s="1136" t="s">
        <v>634</v>
      </c>
      <c r="E575" s="545">
        <v>0</v>
      </c>
      <c r="F575" s="545">
        <v>0</v>
      </c>
      <c r="G575" s="546">
        <v>0</v>
      </c>
      <c r="H575" s="547"/>
    </row>
    <row r="576" spans="1:8" ht="15" customHeight="1" thickBot="1">
      <c r="A576" s="1391"/>
      <c r="B576" s="4268" t="s">
        <v>375</v>
      </c>
      <c r="C576" s="4269"/>
      <c r="D576" s="1115"/>
      <c r="E576" s="577">
        <v>0</v>
      </c>
      <c r="F576" s="577">
        <v>0</v>
      </c>
      <c r="G576" s="578">
        <v>0</v>
      </c>
      <c r="H576" s="579"/>
    </row>
    <row r="577" spans="1:8" ht="15.75" thickBot="1">
      <c r="A577" s="1388"/>
      <c r="B577" s="1107">
        <v>85395</v>
      </c>
      <c r="C577" s="1108" t="s">
        <v>95</v>
      </c>
      <c r="D577" s="1109"/>
      <c r="E577" s="532">
        <f>SUM(E578+E589)</f>
        <v>76946</v>
      </c>
      <c r="F577" s="532">
        <f>SUM(F578+F589)</f>
        <v>527923</v>
      </c>
      <c r="G577" s="533">
        <f>SUM(G578+G589)</f>
        <v>594655</v>
      </c>
      <c r="H577" s="534">
        <f t="shared" si="118"/>
        <v>1.1264047976693572</v>
      </c>
    </row>
    <row r="578" spans="1:8" ht="17.25" customHeight="1">
      <c r="A578" s="1286"/>
      <c r="B578" s="4320" t="s">
        <v>370</v>
      </c>
      <c r="C578" s="4321"/>
      <c r="D578" s="1326"/>
      <c r="E578" s="561">
        <f>SUM(E581:E588)</f>
        <v>76946</v>
      </c>
      <c r="F578" s="561">
        <f t="shared" ref="F578:G578" si="121">SUM(F581:F588)</f>
        <v>525508</v>
      </c>
      <c r="G578" s="562">
        <f t="shared" si="121"/>
        <v>592241.24</v>
      </c>
      <c r="H578" s="539">
        <f t="shared" si="118"/>
        <v>1.1269880572702984</v>
      </c>
    </row>
    <row r="579" spans="1:8" ht="15" hidden="1" customHeight="1">
      <c r="A579" s="1286"/>
      <c r="B579" s="1393"/>
      <c r="C579" s="1394" t="s">
        <v>693</v>
      </c>
      <c r="D579" s="1395" t="s">
        <v>386</v>
      </c>
      <c r="E579" s="850">
        <v>0</v>
      </c>
      <c r="F579" s="850">
        <v>0</v>
      </c>
      <c r="G579" s="851">
        <v>0</v>
      </c>
      <c r="H579" s="548" t="e">
        <f t="shared" si="118"/>
        <v>#DIV/0!</v>
      </c>
    </row>
    <row r="580" spans="1:8" ht="17.25" hidden="1" customHeight="1">
      <c r="A580" s="1286"/>
      <c r="B580" s="1393"/>
      <c r="C580" s="1394" t="s">
        <v>694</v>
      </c>
      <c r="D580" s="1395" t="s">
        <v>71</v>
      </c>
      <c r="E580" s="850">
        <v>0</v>
      </c>
      <c r="F580" s="850">
        <v>0</v>
      </c>
      <c r="G580" s="851">
        <v>0</v>
      </c>
      <c r="H580" s="548" t="e">
        <f t="shared" si="118"/>
        <v>#DIV/0!</v>
      </c>
    </row>
    <row r="581" spans="1:8" ht="76.5">
      <c r="A581" s="1286"/>
      <c r="B581" s="1393"/>
      <c r="C581" s="1396" t="s">
        <v>695</v>
      </c>
      <c r="D581" s="1159">
        <v>2057</v>
      </c>
      <c r="E581" s="545">
        <v>64850</v>
      </c>
      <c r="F581" s="545">
        <v>71347</v>
      </c>
      <c r="G581" s="546">
        <v>67981.08</v>
      </c>
      <c r="H581" s="547">
        <f t="shared" si="118"/>
        <v>0.95282324414481345</v>
      </c>
    </row>
    <row r="582" spans="1:8" ht="76.5">
      <c r="A582" s="1286"/>
      <c r="B582" s="1393"/>
      <c r="C582" s="1397" t="s">
        <v>696</v>
      </c>
      <c r="D582" s="1159">
        <v>2059</v>
      </c>
      <c r="E582" s="545">
        <v>12096</v>
      </c>
      <c r="F582" s="545">
        <v>13309</v>
      </c>
      <c r="G582" s="546">
        <v>12679.92</v>
      </c>
      <c r="H582" s="547">
        <f t="shared" si="118"/>
        <v>0.95273273724547303</v>
      </c>
    </row>
    <row r="583" spans="1:8" ht="51">
      <c r="A583" s="1286"/>
      <c r="B583" s="1393"/>
      <c r="C583" s="1398" t="s">
        <v>413</v>
      </c>
      <c r="D583" s="1133">
        <v>2918</v>
      </c>
      <c r="E583" s="545">
        <v>0</v>
      </c>
      <c r="F583" s="545">
        <v>1802</v>
      </c>
      <c r="G583" s="591">
        <v>2359.9</v>
      </c>
      <c r="H583" s="547">
        <f t="shared" si="118"/>
        <v>1.3096004439511655</v>
      </c>
    </row>
    <row r="584" spans="1:8" ht="63.75">
      <c r="A584" s="1286"/>
      <c r="B584" s="1393"/>
      <c r="C584" s="1399" t="s">
        <v>633</v>
      </c>
      <c r="D584" s="4322">
        <v>2919</v>
      </c>
      <c r="E584" s="590">
        <v>0</v>
      </c>
      <c r="F584" s="590">
        <v>10800</v>
      </c>
      <c r="G584" s="591">
        <v>10799.27</v>
      </c>
      <c r="H584" s="547">
        <f t="shared" si="118"/>
        <v>0.99993240740740741</v>
      </c>
    </row>
    <row r="585" spans="1:8" s="905" customFormat="1" ht="63.75">
      <c r="A585" s="1286"/>
      <c r="B585" s="1393"/>
      <c r="C585" s="1399" t="s">
        <v>697</v>
      </c>
      <c r="D585" s="4323"/>
      <c r="E585" s="590">
        <v>0</v>
      </c>
      <c r="F585" s="590">
        <v>299</v>
      </c>
      <c r="G585" s="591">
        <v>298.48</v>
      </c>
      <c r="H585" s="592">
        <f t="shared" si="118"/>
        <v>0.99826086956521742</v>
      </c>
    </row>
    <row r="586" spans="1:8" s="905" customFormat="1" ht="51.75" thickBot="1">
      <c r="A586" s="1391"/>
      <c r="B586" s="1400"/>
      <c r="C586" s="1401" t="s">
        <v>698</v>
      </c>
      <c r="D586" s="4324"/>
      <c r="E586" s="600">
        <v>0</v>
      </c>
      <c r="F586" s="600">
        <v>1360</v>
      </c>
      <c r="G586" s="601">
        <v>1456.12</v>
      </c>
      <c r="H586" s="602">
        <f t="shared" si="118"/>
        <v>1.0706764705882352</v>
      </c>
    </row>
    <row r="587" spans="1:8" s="905" customFormat="1" ht="38.25">
      <c r="A587" s="1286"/>
      <c r="B587" s="1393"/>
      <c r="C587" s="1402" t="s">
        <v>414</v>
      </c>
      <c r="D587" s="4323">
        <v>2959</v>
      </c>
      <c r="E587" s="566">
        <v>0</v>
      </c>
      <c r="F587" s="566">
        <v>318205</v>
      </c>
      <c r="G587" s="567">
        <v>335528.18</v>
      </c>
      <c r="H587" s="568">
        <f t="shared" si="118"/>
        <v>1.0544403136342924</v>
      </c>
    </row>
    <row r="588" spans="1:8" s="905" customFormat="1" ht="38.25">
      <c r="A588" s="1286"/>
      <c r="B588" s="1403"/>
      <c r="C588" s="1398" t="s">
        <v>699</v>
      </c>
      <c r="D588" s="4325"/>
      <c r="E588" s="545">
        <v>0</v>
      </c>
      <c r="F588" s="545">
        <v>108386</v>
      </c>
      <c r="G588" s="546">
        <v>161138.29</v>
      </c>
      <c r="H588" s="547">
        <f t="shared" si="118"/>
        <v>1.4867076006126254</v>
      </c>
    </row>
    <row r="589" spans="1:8" s="905" customFormat="1">
      <c r="A589" s="1286"/>
      <c r="B589" s="4310" t="s">
        <v>416</v>
      </c>
      <c r="C589" s="4298"/>
      <c r="D589" s="1111"/>
      <c r="E589" s="646">
        <f t="shared" ref="E589:G589" si="122">E590</f>
        <v>0</v>
      </c>
      <c r="F589" s="646">
        <f t="shared" si="122"/>
        <v>2415</v>
      </c>
      <c r="G589" s="647">
        <f t="shared" si="122"/>
        <v>2413.7600000000002</v>
      </c>
      <c r="H589" s="901">
        <f t="shared" si="118"/>
        <v>0.99948654244306423</v>
      </c>
    </row>
    <row r="590" spans="1:8" s="905" customFormat="1" ht="43.5" customHeight="1" thickBot="1">
      <c r="A590" s="1391"/>
      <c r="B590" s="1181"/>
      <c r="C590" s="1404" t="s">
        <v>414</v>
      </c>
      <c r="D590" s="1386">
        <v>6699</v>
      </c>
      <c r="E590" s="600">
        <v>0</v>
      </c>
      <c r="F590" s="600">
        <v>2415</v>
      </c>
      <c r="G590" s="601">
        <v>2413.7600000000002</v>
      </c>
      <c r="H590" s="602">
        <f t="shared" si="118"/>
        <v>0.99948654244306423</v>
      </c>
    </row>
    <row r="591" spans="1:8" s="905" customFormat="1" ht="15.75" thickBot="1">
      <c r="A591" s="1405">
        <v>854</v>
      </c>
      <c r="B591" s="317"/>
      <c r="C591" s="1104" t="s">
        <v>162</v>
      </c>
      <c r="D591" s="1105"/>
      <c r="E591" s="1406">
        <f>E592+E596</f>
        <v>0</v>
      </c>
      <c r="F591" s="1406">
        <f t="shared" ref="F591:G591" si="123">F592+F596</f>
        <v>0</v>
      </c>
      <c r="G591" s="1407">
        <f t="shared" si="123"/>
        <v>1800</v>
      </c>
      <c r="H591" s="1408"/>
    </row>
    <row r="592" spans="1:8" s="905" customFormat="1" ht="15.75" hidden="1" thickBot="1">
      <c r="A592" s="4314"/>
      <c r="B592" s="1409">
        <v>85410</v>
      </c>
      <c r="C592" s="1108" t="s">
        <v>700</v>
      </c>
      <c r="D592" s="1410"/>
      <c r="E592" s="605">
        <f>E593+E595</f>
        <v>0</v>
      </c>
      <c r="F592" s="605">
        <f t="shared" ref="F592:G592" si="124">F593+F595</f>
        <v>0</v>
      </c>
      <c r="G592" s="606">
        <f t="shared" si="124"/>
        <v>0</v>
      </c>
      <c r="H592" s="607"/>
    </row>
    <row r="593" spans="1:8" s="905" customFormat="1" ht="15.75" hidden="1" thickBot="1">
      <c r="A593" s="4315"/>
      <c r="B593" s="4263" t="s">
        <v>370</v>
      </c>
      <c r="C593" s="4317"/>
      <c r="D593" s="1326"/>
      <c r="E593" s="561">
        <f>E594</f>
        <v>0</v>
      </c>
      <c r="F593" s="561">
        <f t="shared" ref="F593:G593" si="125">F594</f>
        <v>0</v>
      </c>
      <c r="G593" s="562">
        <f t="shared" si="125"/>
        <v>0</v>
      </c>
      <c r="H593" s="539"/>
    </row>
    <row r="594" spans="1:8" s="905" customFormat="1" ht="41.25" hidden="1" customHeight="1">
      <c r="A594" s="4315"/>
      <c r="B594" s="1180"/>
      <c r="C594" s="1411" t="s">
        <v>604</v>
      </c>
      <c r="D594" s="1412">
        <v>2400</v>
      </c>
      <c r="E594" s="566">
        <v>0</v>
      </c>
      <c r="F594" s="566">
        <v>0</v>
      </c>
      <c r="G594" s="567">
        <v>0</v>
      </c>
      <c r="H594" s="568"/>
    </row>
    <row r="595" spans="1:8" s="905" customFormat="1" ht="15.75" hidden="1" thickBot="1">
      <c r="A595" s="4316"/>
      <c r="B595" s="4268" t="s">
        <v>375</v>
      </c>
      <c r="C595" s="4301"/>
      <c r="D595" s="1115"/>
      <c r="E595" s="577">
        <v>0</v>
      </c>
      <c r="F595" s="577">
        <v>0</v>
      </c>
      <c r="G595" s="578">
        <v>0</v>
      </c>
      <c r="H595" s="579"/>
    </row>
    <row r="596" spans="1:8" s="905" customFormat="1" ht="18" customHeight="1" thickBot="1">
      <c r="A596" s="4314"/>
      <c r="B596" s="1409">
        <v>85417</v>
      </c>
      <c r="C596" s="1108" t="s">
        <v>701</v>
      </c>
      <c r="D596" s="1410"/>
      <c r="E596" s="605">
        <f>E597+E599</f>
        <v>0</v>
      </c>
      <c r="F596" s="605">
        <f t="shared" ref="F596:G596" si="126">F597+F599</f>
        <v>0</v>
      </c>
      <c r="G596" s="606">
        <f t="shared" si="126"/>
        <v>1800</v>
      </c>
      <c r="H596" s="607"/>
    </row>
    <row r="597" spans="1:8" s="905" customFormat="1">
      <c r="A597" s="4315"/>
      <c r="B597" s="4263" t="s">
        <v>370</v>
      </c>
      <c r="C597" s="4317"/>
      <c r="D597" s="1326"/>
      <c r="E597" s="561">
        <f>E598</f>
        <v>0</v>
      </c>
      <c r="F597" s="561">
        <f t="shared" ref="F597:G597" si="127">F598</f>
        <v>0</v>
      </c>
      <c r="G597" s="562">
        <f t="shared" si="127"/>
        <v>1800</v>
      </c>
      <c r="H597" s="539"/>
    </row>
    <row r="598" spans="1:8" s="905" customFormat="1">
      <c r="A598" s="4315"/>
      <c r="B598" s="1180"/>
      <c r="C598" s="1411" t="s">
        <v>603</v>
      </c>
      <c r="D598" s="1362" t="s">
        <v>380</v>
      </c>
      <c r="E598" s="566">
        <v>0</v>
      </c>
      <c r="F598" s="566">
        <v>0</v>
      </c>
      <c r="G598" s="567">
        <v>1800</v>
      </c>
      <c r="H598" s="568"/>
    </row>
    <row r="599" spans="1:8" s="905" customFormat="1" ht="15.75" thickBot="1">
      <c r="A599" s="4316"/>
      <c r="B599" s="4268" t="s">
        <v>375</v>
      </c>
      <c r="C599" s="4301"/>
      <c r="D599" s="1115"/>
      <c r="E599" s="577">
        <v>0</v>
      </c>
      <c r="F599" s="577">
        <v>0</v>
      </c>
      <c r="G599" s="578">
        <v>0</v>
      </c>
      <c r="H599" s="579"/>
    </row>
    <row r="600" spans="1:8" s="905" customFormat="1" ht="15.75" thickBot="1">
      <c r="A600" s="1405">
        <v>855</v>
      </c>
      <c r="B600" s="317"/>
      <c r="C600" s="1104" t="s">
        <v>102</v>
      </c>
      <c r="D600" s="1079"/>
      <c r="E600" s="625">
        <f>SUM(E607,E611,E601)</f>
        <v>4307351</v>
      </c>
      <c r="F600" s="625">
        <f>SUM(F607,F611,F601)</f>
        <v>5017524</v>
      </c>
      <c r="G600" s="626">
        <f>SUM(G607,G611,G601)</f>
        <v>4771707.17</v>
      </c>
      <c r="H600" s="627">
        <f t="shared" si="118"/>
        <v>0.95100833997007284</v>
      </c>
    </row>
    <row r="601" spans="1:8" s="905" customFormat="1" ht="15.75" customHeight="1" thickBot="1">
      <c r="A601" s="1413"/>
      <c r="B601" s="1409">
        <v>85504</v>
      </c>
      <c r="C601" s="1108" t="s">
        <v>702</v>
      </c>
      <c r="D601" s="1414"/>
      <c r="E601" s="605">
        <f>E602+E606</f>
        <v>0</v>
      </c>
      <c r="F601" s="605">
        <f>F602+F606</f>
        <v>0</v>
      </c>
      <c r="G601" s="606">
        <f>G602+G606</f>
        <v>871.64</v>
      </c>
      <c r="H601" s="1202"/>
    </row>
    <row r="602" spans="1:8" s="905" customFormat="1">
      <c r="A602" s="1413"/>
      <c r="B602" s="4298" t="s">
        <v>370</v>
      </c>
      <c r="C602" s="4298"/>
      <c r="D602" s="1111"/>
      <c r="E602" s="635">
        <f>SUM(E603:E605)</f>
        <v>0</v>
      </c>
      <c r="F602" s="635">
        <f t="shared" ref="F602:G602" si="128">SUM(F603:F605)</f>
        <v>0</v>
      </c>
      <c r="G602" s="636">
        <f t="shared" si="128"/>
        <v>871.64</v>
      </c>
      <c r="H602" s="539"/>
    </row>
    <row r="603" spans="1:8" s="905" customFormat="1" ht="52.5" customHeight="1">
      <c r="A603" s="1189"/>
      <c r="B603" s="1415"/>
      <c r="C603" s="1416" t="s">
        <v>703</v>
      </c>
      <c r="D603" s="1417" t="s">
        <v>392</v>
      </c>
      <c r="E603" s="545">
        <v>0</v>
      </c>
      <c r="F603" s="545">
        <v>0</v>
      </c>
      <c r="G603" s="546">
        <v>16</v>
      </c>
      <c r="H603" s="547"/>
    </row>
    <row r="604" spans="1:8" s="905" customFormat="1" ht="15.75" hidden="1" customHeight="1">
      <c r="A604" s="1189"/>
      <c r="B604" s="1415"/>
      <c r="C604" s="1418" t="s">
        <v>704</v>
      </c>
      <c r="D604" s="1136" t="s">
        <v>528</v>
      </c>
      <c r="E604" s="545">
        <v>0</v>
      </c>
      <c r="F604" s="545">
        <v>0</v>
      </c>
      <c r="G604" s="546">
        <v>0</v>
      </c>
      <c r="H604" s="547" t="e">
        <f t="shared" si="118"/>
        <v>#DIV/0!</v>
      </c>
    </row>
    <row r="605" spans="1:8" s="1175" customFormat="1" ht="38.25">
      <c r="A605" s="1189"/>
      <c r="B605" s="1415"/>
      <c r="C605" s="1122" t="s">
        <v>705</v>
      </c>
      <c r="D605" s="1136" t="s">
        <v>431</v>
      </c>
      <c r="E605" s="545">
        <v>0</v>
      </c>
      <c r="F605" s="545">
        <v>0</v>
      </c>
      <c r="G605" s="546">
        <v>855.64</v>
      </c>
      <c r="H605" s="547"/>
    </row>
    <row r="606" spans="1:8" s="1177" customFormat="1" ht="15.75" thickBot="1">
      <c r="A606" s="1189"/>
      <c r="B606" s="4318" t="s">
        <v>375</v>
      </c>
      <c r="C606" s="4319"/>
      <c r="D606" s="1115"/>
      <c r="E606" s="577">
        <v>0</v>
      </c>
      <c r="F606" s="577">
        <v>0</v>
      </c>
      <c r="G606" s="578">
        <v>0</v>
      </c>
      <c r="H606" s="579"/>
    </row>
    <row r="607" spans="1:8" ht="19.5" customHeight="1" thickBot="1">
      <c r="A607" s="1189"/>
      <c r="B607" s="1419">
        <v>85509</v>
      </c>
      <c r="C607" s="1350" t="s">
        <v>289</v>
      </c>
      <c r="D607" s="1420"/>
      <c r="E607" s="532">
        <f t="shared" ref="E607" si="129">SUM(E608,E610)</f>
        <v>883000</v>
      </c>
      <c r="F607" s="532">
        <f>F608+F610</f>
        <v>1592846</v>
      </c>
      <c r="G607" s="533">
        <f>G608+G610</f>
        <v>1589051.39</v>
      </c>
      <c r="H607" s="534">
        <f t="shared" si="118"/>
        <v>0.99761771696698853</v>
      </c>
    </row>
    <row r="608" spans="1:8" ht="17.25" customHeight="1">
      <c r="A608" s="1189"/>
      <c r="B608" s="4298" t="s">
        <v>370</v>
      </c>
      <c r="C608" s="4298"/>
      <c r="D608" s="1111"/>
      <c r="E608" s="537">
        <f t="shared" ref="E608" si="130">SUM(E609)</f>
        <v>883000</v>
      </c>
      <c r="F608" s="537">
        <f>F609</f>
        <v>1592846</v>
      </c>
      <c r="G608" s="538">
        <f>G609</f>
        <v>1589051.39</v>
      </c>
      <c r="H608" s="744">
        <f t="shared" si="118"/>
        <v>0.99761771696698853</v>
      </c>
    </row>
    <row r="609" spans="1:8" ht="42" customHeight="1">
      <c r="A609" s="1189"/>
      <c r="B609" s="1421"/>
      <c r="C609" s="1113" t="s">
        <v>394</v>
      </c>
      <c r="D609" s="1422" t="s">
        <v>266</v>
      </c>
      <c r="E609" s="545">
        <v>883000</v>
      </c>
      <c r="F609" s="545">
        <v>1592846</v>
      </c>
      <c r="G609" s="546">
        <v>1589051.39</v>
      </c>
      <c r="H609" s="547">
        <f t="shared" si="118"/>
        <v>0.99761771696698853</v>
      </c>
    </row>
    <row r="610" spans="1:8" ht="15" customHeight="1" thickBot="1">
      <c r="A610" s="1218"/>
      <c r="B610" s="4268" t="s">
        <v>375</v>
      </c>
      <c r="C610" s="4301"/>
      <c r="D610" s="1115"/>
      <c r="E610" s="577">
        <v>0</v>
      </c>
      <c r="F610" s="577">
        <v>0</v>
      </c>
      <c r="G610" s="578">
        <f t="shared" si="115"/>
        <v>0</v>
      </c>
      <c r="H610" s="579"/>
    </row>
    <row r="611" spans="1:8" ht="18" customHeight="1" thickBot="1">
      <c r="A611" s="1189"/>
      <c r="B611" s="1423">
        <v>85510</v>
      </c>
      <c r="C611" s="1424" t="s">
        <v>706</v>
      </c>
      <c r="D611" s="1425"/>
      <c r="E611" s="1099">
        <f>SUM(E612,E616)</f>
        <v>3424351</v>
      </c>
      <c r="F611" s="1099">
        <f>SUM(F612,F616)</f>
        <v>3424678</v>
      </c>
      <c r="G611" s="1100">
        <f>SUM(G612,G616)</f>
        <v>3181784.14</v>
      </c>
      <c r="H611" s="1101">
        <f t="shared" si="118"/>
        <v>0.92907541672530969</v>
      </c>
    </row>
    <row r="612" spans="1:8" ht="18.75" customHeight="1">
      <c r="A612" s="1189"/>
      <c r="B612" s="4310" t="s">
        <v>370</v>
      </c>
      <c r="C612" s="4298"/>
      <c r="D612" s="1091"/>
      <c r="E612" s="537">
        <f>SUM(E613:E615,)</f>
        <v>3424351</v>
      </c>
      <c r="F612" s="537">
        <f t="shared" ref="F612:G612" si="131">SUM(F613:F615,)</f>
        <v>3424678</v>
      </c>
      <c r="G612" s="538">
        <f t="shared" si="131"/>
        <v>3181784.14</v>
      </c>
      <c r="H612" s="744">
        <f t="shared" si="118"/>
        <v>0.92907541672530969</v>
      </c>
    </row>
    <row r="613" spans="1:8">
      <c r="A613" s="1189"/>
      <c r="B613" s="1426"/>
      <c r="C613" s="1427" t="s">
        <v>693</v>
      </c>
      <c r="D613" s="1428" t="s">
        <v>386</v>
      </c>
      <c r="E613" s="545">
        <v>0</v>
      </c>
      <c r="F613" s="545">
        <v>0</v>
      </c>
      <c r="G613" s="546">
        <v>2.73</v>
      </c>
      <c r="H613" s="548"/>
    </row>
    <row r="614" spans="1:8" ht="42" customHeight="1">
      <c r="A614" s="1189"/>
      <c r="B614" s="1429"/>
      <c r="C614" s="1430" t="s">
        <v>707</v>
      </c>
      <c r="D614" s="1422" t="s">
        <v>21</v>
      </c>
      <c r="E614" s="545">
        <v>3424351</v>
      </c>
      <c r="F614" s="545">
        <v>3424351</v>
      </c>
      <c r="G614" s="546">
        <v>3181454.66</v>
      </c>
      <c r="H614" s="547">
        <f t="shared" si="118"/>
        <v>0.92906791973135938</v>
      </c>
    </row>
    <row r="615" spans="1:8" s="1177" customFormat="1" ht="42.75" customHeight="1">
      <c r="A615" s="1189"/>
      <c r="B615" s="1429"/>
      <c r="C615" s="1427" t="s">
        <v>708</v>
      </c>
      <c r="D615" s="1431" t="s">
        <v>201</v>
      </c>
      <c r="E615" s="545">
        <v>0</v>
      </c>
      <c r="F615" s="545">
        <v>327</v>
      </c>
      <c r="G615" s="546">
        <v>326.75</v>
      </c>
      <c r="H615" s="547">
        <f t="shared" si="118"/>
        <v>0.99923547400611623</v>
      </c>
    </row>
    <row r="616" spans="1:8" ht="15.75" thickBot="1">
      <c r="A616" s="1218"/>
      <c r="B616" s="4268" t="s">
        <v>375</v>
      </c>
      <c r="C616" s="4301"/>
      <c r="D616" s="1321"/>
      <c r="E616" s="750">
        <v>0</v>
      </c>
      <c r="F616" s="750">
        <v>0</v>
      </c>
      <c r="G616" s="751">
        <f t="shared" si="115"/>
        <v>0</v>
      </c>
      <c r="H616" s="752"/>
    </row>
    <row r="617" spans="1:8" ht="18" customHeight="1" thickBot="1">
      <c r="A617" s="1432">
        <v>900</v>
      </c>
      <c r="B617" s="1103"/>
      <c r="C617" s="1104" t="s">
        <v>56</v>
      </c>
      <c r="D617" s="1105"/>
      <c r="E617" s="524">
        <f>SUM(E618,E627,E638,E649,E644)</f>
        <v>612150</v>
      </c>
      <c r="F617" s="524">
        <f>SUM(F618,F627,F638,F649,F644)</f>
        <v>612150</v>
      </c>
      <c r="G617" s="525">
        <f>SUM(G618,G627,G638,G649,G644)</f>
        <v>987477.17000000016</v>
      </c>
      <c r="H617" s="526">
        <f t="shared" si="118"/>
        <v>1.6131294127256395</v>
      </c>
    </row>
    <row r="618" spans="1:8" ht="26.25" customHeight="1" thickBot="1">
      <c r="A618" s="1186"/>
      <c r="B618" s="1107">
        <v>90019</v>
      </c>
      <c r="C618" s="1108" t="s">
        <v>709</v>
      </c>
      <c r="D618" s="1109"/>
      <c r="E618" s="532">
        <f>SUM(E619,E626)</f>
        <v>350000</v>
      </c>
      <c r="F618" s="532">
        <f>SUM(F619,F626)</f>
        <v>350000</v>
      </c>
      <c r="G618" s="533">
        <f>SUM(G619,G626)</f>
        <v>484459.77</v>
      </c>
      <c r="H618" s="534">
        <f t="shared" si="118"/>
        <v>1.3841707714285716</v>
      </c>
    </row>
    <row r="619" spans="1:8">
      <c r="A619" s="1189"/>
      <c r="B619" s="4298" t="s">
        <v>370</v>
      </c>
      <c r="C619" s="4298"/>
      <c r="D619" s="1111"/>
      <c r="E619" s="537">
        <f>SUM(E620:E625)</f>
        <v>350000</v>
      </c>
      <c r="F619" s="537">
        <f>SUM(F620:F625)</f>
        <v>350000</v>
      </c>
      <c r="G619" s="538">
        <f>SUM(G620:G625)</f>
        <v>484459.77</v>
      </c>
      <c r="H619" s="744">
        <f t="shared" si="118"/>
        <v>1.3841707714285716</v>
      </c>
    </row>
    <row r="620" spans="1:8" ht="38.25">
      <c r="A620" s="1189"/>
      <c r="B620" s="1433"/>
      <c r="C620" s="1434" t="s">
        <v>710</v>
      </c>
      <c r="D620" s="1435" t="s">
        <v>60</v>
      </c>
      <c r="E620" s="1068">
        <v>0</v>
      </c>
      <c r="F620" s="1068">
        <v>0</v>
      </c>
      <c r="G620" s="1069">
        <v>866.17</v>
      </c>
      <c r="H620" s="592"/>
    </row>
    <row r="621" spans="1:8" ht="38.25">
      <c r="A621" s="1189"/>
      <c r="B621" s="1436"/>
      <c r="C621" s="1171" t="s">
        <v>711</v>
      </c>
      <c r="D621" s="1252" t="s">
        <v>179</v>
      </c>
      <c r="E621" s="1068">
        <v>0</v>
      </c>
      <c r="F621" s="1068">
        <v>0</v>
      </c>
      <c r="G621" s="1069">
        <v>168</v>
      </c>
      <c r="H621" s="592"/>
    </row>
    <row r="622" spans="1:8">
      <c r="A622" s="1189"/>
      <c r="B622" s="1436"/>
      <c r="C622" s="1244" t="s">
        <v>712</v>
      </c>
      <c r="D622" s="4311" t="s">
        <v>18</v>
      </c>
      <c r="E622" s="1068">
        <v>0</v>
      </c>
      <c r="F622" s="1068">
        <v>0</v>
      </c>
      <c r="G622" s="1069">
        <v>969.83</v>
      </c>
      <c r="H622" s="592"/>
    </row>
    <row r="623" spans="1:8">
      <c r="A623" s="1189"/>
      <c r="B623" s="1231"/>
      <c r="C623" s="1153" t="s">
        <v>713</v>
      </c>
      <c r="D623" s="4312"/>
      <c r="E623" s="545">
        <v>350000</v>
      </c>
      <c r="F623" s="545">
        <v>350000</v>
      </c>
      <c r="G623" s="546">
        <v>482455.77</v>
      </c>
      <c r="H623" s="547">
        <f t="shared" si="118"/>
        <v>1.3784450571428573</v>
      </c>
    </row>
    <row r="624" spans="1:8" ht="15.75" hidden="1" customHeight="1" thickBot="1">
      <c r="A624" s="1189"/>
      <c r="B624" s="1237"/>
      <c r="C624" s="1437" t="s">
        <v>714</v>
      </c>
      <c r="D624" s="4313"/>
      <c r="E624" s="732">
        <v>0</v>
      </c>
      <c r="F624" s="732">
        <v>0</v>
      </c>
      <c r="G624" s="733">
        <v>0</v>
      </c>
      <c r="H624" s="1072"/>
    </row>
    <row r="625" spans="1:8" ht="38.25" hidden="1">
      <c r="A625" s="1189"/>
      <c r="B625" s="1438"/>
      <c r="C625" s="1439" t="s">
        <v>407</v>
      </c>
      <c r="D625" s="1440" t="s">
        <v>44</v>
      </c>
      <c r="E625" s="1441">
        <v>0</v>
      </c>
      <c r="F625" s="712">
        <v>0</v>
      </c>
      <c r="G625" s="713">
        <v>0</v>
      </c>
      <c r="H625" s="714"/>
    </row>
    <row r="626" spans="1:8" ht="15" customHeight="1" thickBot="1">
      <c r="A626" s="1189"/>
      <c r="B626" s="4257" t="s">
        <v>375</v>
      </c>
      <c r="C626" s="4302"/>
      <c r="D626" s="1151"/>
      <c r="E626" s="594">
        <v>0</v>
      </c>
      <c r="F626" s="594">
        <v>0</v>
      </c>
      <c r="G626" s="595">
        <f t="shared" ref="G626:G723" si="132">E626+F626</f>
        <v>0</v>
      </c>
      <c r="H626" s="596"/>
    </row>
    <row r="627" spans="1:8" ht="26.25" thickBot="1">
      <c r="A627" s="1189"/>
      <c r="B627" s="1134">
        <v>90020</v>
      </c>
      <c r="C627" s="1108" t="s">
        <v>715</v>
      </c>
      <c r="D627" s="1109"/>
      <c r="E627" s="605">
        <f>SUM(E628,E637)</f>
        <v>111100</v>
      </c>
      <c r="F627" s="605">
        <f>SUM(F628,F637)</f>
        <v>111100</v>
      </c>
      <c r="G627" s="606">
        <f>SUM(G628,G637)</f>
        <v>289524.33000000007</v>
      </c>
      <c r="H627" s="607">
        <f t="shared" si="118"/>
        <v>2.6059795679567963</v>
      </c>
    </row>
    <row r="628" spans="1:8" ht="15.75" customHeight="1">
      <c r="A628" s="1189"/>
      <c r="B628" s="4303" t="s">
        <v>370</v>
      </c>
      <c r="C628" s="4303"/>
      <c r="D628" s="1091"/>
      <c r="E628" s="537">
        <f>SUM(E629:E636)</f>
        <v>111100</v>
      </c>
      <c r="F628" s="537">
        <f>SUM(F629:F636)</f>
        <v>111100</v>
      </c>
      <c r="G628" s="538">
        <f>SUM(G629:G636)</f>
        <v>289524.33000000007</v>
      </c>
      <c r="H628" s="744">
        <f t="shared" si="118"/>
        <v>2.6059795679567963</v>
      </c>
    </row>
    <row r="629" spans="1:8" ht="15" customHeight="1">
      <c r="A629" s="1189"/>
      <c r="B629" s="1442"/>
      <c r="C629" s="1171" t="s">
        <v>716</v>
      </c>
      <c r="D629" s="1252" t="s">
        <v>68</v>
      </c>
      <c r="E629" s="541">
        <v>50000</v>
      </c>
      <c r="F629" s="541">
        <v>50000</v>
      </c>
      <c r="G629" s="542">
        <v>78674.12</v>
      </c>
      <c r="H629" s="547">
        <f t="shared" si="118"/>
        <v>1.5734823999999998</v>
      </c>
    </row>
    <row r="630" spans="1:8" ht="25.5">
      <c r="A630" s="1189"/>
      <c r="B630" s="1443"/>
      <c r="C630" s="1190" t="s">
        <v>717</v>
      </c>
      <c r="D630" s="1435" t="s">
        <v>69</v>
      </c>
      <c r="E630" s="545">
        <v>60000</v>
      </c>
      <c r="F630" s="545">
        <v>60000</v>
      </c>
      <c r="G630" s="546">
        <v>184768.54</v>
      </c>
      <c r="H630" s="547">
        <f t="shared" si="118"/>
        <v>3.0794756666666667</v>
      </c>
    </row>
    <row r="631" spans="1:8" ht="39" thickBot="1">
      <c r="A631" s="1218"/>
      <c r="B631" s="1444"/>
      <c r="C631" s="1445" t="s">
        <v>718</v>
      </c>
      <c r="D631" s="1270" t="s">
        <v>70</v>
      </c>
      <c r="E631" s="600">
        <v>1000</v>
      </c>
      <c r="F631" s="600">
        <v>1000</v>
      </c>
      <c r="G631" s="601">
        <v>24727.84</v>
      </c>
      <c r="H631" s="602">
        <f t="shared" si="118"/>
        <v>24.72784</v>
      </c>
    </row>
    <row r="632" spans="1:8" ht="38.25">
      <c r="A632" s="1186"/>
      <c r="B632" s="1446"/>
      <c r="C632" s="1447" t="s">
        <v>719</v>
      </c>
      <c r="D632" s="1448" t="s">
        <v>180</v>
      </c>
      <c r="E632" s="738">
        <v>0</v>
      </c>
      <c r="F632" s="738">
        <v>0</v>
      </c>
      <c r="G632" s="739">
        <v>204</v>
      </c>
      <c r="H632" s="740"/>
    </row>
    <row r="633" spans="1:8" ht="25.5">
      <c r="A633" s="1189"/>
      <c r="B633" s="1443"/>
      <c r="C633" s="1449" t="s">
        <v>720</v>
      </c>
      <c r="D633" s="1252" t="s">
        <v>18</v>
      </c>
      <c r="E633" s="545">
        <v>0</v>
      </c>
      <c r="F633" s="545">
        <v>0</v>
      </c>
      <c r="G633" s="546">
        <v>120</v>
      </c>
      <c r="H633" s="547"/>
    </row>
    <row r="634" spans="1:8" ht="18.75" customHeight="1">
      <c r="A634" s="1189"/>
      <c r="B634" s="1443"/>
      <c r="C634" s="1449" t="s">
        <v>721</v>
      </c>
      <c r="D634" s="1252" t="s">
        <v>71</v>
      </c>
      <c r="E634" s="545">
        <v>0</v>
      </c>
      <c r="F634" s="545">
        <v>100</v>
      </c>
      <c r="G634" s="546">
        <v>954.83</v>
      </c>
      <c r="H634" s="547">
        <f t="shared" si="118"/>
        <v>9.5483000000000011</v>
      </c>
    </row>
    <row r="635" spans="1:8" ht="25.5">
      <c r="A635" s="1189"/>
      <c r="B635" s="1443"/>
      <c r="C635" s="1449" t="s">
        <v>722</v>
      </c>
      <c r="D635" s="1450" t="s">
        <v>71</v>
      </c>
      <c r="E635" s="545">
        <v>100</v>
      </c>
      <c r="F635" s="545">
        <v>0</v>
      </c>
      <c r="G635" s="546">
        <v>0</v>
      </c>
      <c r="H635" s="547"/>
    </row>
    <row r="636" spans="1:8" ht="38.25">
      <c r="A636" s="1189"/>
      <c r="B636" s="1451"/>
      <c r="C636" s="1190" t="s">
        <v>407</v>
      </c>
      <c r="D636" s="1252" t="s">
        <v>44</v>
      </c>
      <c r="E636" s="545">
        <v>0</v>
      </c>
      <c r="F636" s="545">
        <v>0</v>
      </c>
      <c r="G636" s="546">
        <v>75</v>
      </c>
      <c r="H636" s="547"/>
    </row>
    <row r="637" spans="1:8" ht="16.5" customHeight="1" thickBot="1">
      <c r="A637" s="1189"/>
      <c r="B637" s="4268" t="s">
        <v>375</v>
      </c>
      <c r="C637" s="4269"/>
      <c r="D637" s="1115"/>
      <c r="E637" s="577">
        <v>0</v>
      </c>
      <c r="F637" s="577">
        <v>0</v>
      </c>
      <c r="G637" s="578">
        <v>0</v>
      </c>
      <c r="H637" s="579"/>
    </row>
    <row r="638" spans="1:8" ht="26.25" thickBot="1">
      <c r="A638" s="1189"/>
      <c r="B638" s="1261">
        <v>90024</v>
      </c>
      <c r="C638" s="1262" t="s">
        <v>723</v>
      </c>
      <c r="D638" s="1263"/>
      <c r="E638" s="532">
        <f t="shared" ref="E638:G638" si="133">SUM(E643,E639)</f>
        <v>1050</v>
      </c>
      <c r="F638" s="532">
        <f t="shared" si="133"/>
        <v>1050</v>
      </c>
      <c r="G638" s="533">
        <f t="shared" si="133"/>
        <v>2221.77</v>
      </c>
      <c r="H638" s="534">
        <f t="shared" si="118"/>
        <v>2.1159714285714286</v>
      </c>
    </row>
    <row r="639" spans="1:8">
      <c r="A639" s="1189"/>
      <c r="B639" s="4263" t="s">
        <v>370</v>
      </c>
      <c r="C639" s="4264"/>
      <c r="D639" s="1152"/>
      <c r="E639" s="537">
        <f>SUM(E640:E642)</f>
        <v>1050</v>
      </c>
      <c r="F639" s="537">
        <f t="shared" ref="F639:G639" si="134">SUM(F640:F642)</f>
        <v>1050</v>
      </c>
      <c r="G639" s="538">
        <f t="shared" si="134"/>
        <v>2221.77</v>
      </c>
      <c r="H639" s="744">
        <f t="shared" si="118"/>
        <v>2.1159714285714286</v>
      </c>
    </row>
    <row r="640" spans="1:8" ht="15" customHeight="1">
      <c r="A640" s="1189"/>
      <c r="B640" s="4304"/>
      <c r="C640" s="4307" t="s">
        <v>724</v>
      </c>
      <c r="D640" s="1136" t="s">
        <v>69</v>
      </c>
      <c r="E640" s="545">
        <v>0</v>
      </c>
      <c r="F640" s="545">
        <v>0</v>
      </c>
      <c r="G640" s="546">
        <v>212.75</v>
      </c>
      <c r="H640" s="547"/>
    </row>
    <row r="641" spans="1:8" s="1175" customFormat="1" ht="14.25" customHeight="1">
      <c r="A641" s="1189"/>
      <c r="B641" s="4305"/>
      <c r="C641" s="4308"/>
      <c r="D641" s="1359" t="s">
        <v>18</v>
      </c>
      <c r="E641" s="545">
        <v>1000</v>
      </c>
      <c r="F641" s="545">
        <v>1000</v>
      </c>
      <c r="G641" s="546">
        <v>1124.5999999999999</v>
      </c>
      <c r="H641" s="547">
        <f t="shared" ref="H641:H693" si="135">G641/F641</f>
        <v>1.1245999999999998</v>
      </c>
    </row>
    <row r="642" spans="1:8" s="1175" customFormat="1" ht="16.5" customHeight="1">
      <c r="A642" s="1189"/>
      <c r="B642" s="4306"/>
      <c r="C642" s="4309"/>
      <c r="D642" s="1359" t="s">
        <v>71</v>
      </c>
      <c r="E642" s="545">
        <v>50</v>
      </c>
      <c r="F642" s="545">
        <v>50</v>
      </c>
      <c r="G642" s="546">
        <v>884.42</v>
      </c>
      <c r="H642" s="547">
        <f t="shared" si="135"/>
        <v>17.688399999999998</v>
      </c>
    </row>
    <row r="643" spans="1:8" s="1175" customFormat="1" ht="16.5" customHeight="1" thickBot="1">
      <c r="A643" s="1189"/>
      <c r="B643" s="4301" t="s">
        <v>375</v>
      </c>
      <c r="C643" s="4301"/>
      <c r="D643" s="1115"/>
      <c r="E643" s="750">
        <v>0</v>
      </c>
      <c r="F643" s="750">
        <v>0</v>
      </c>
      <c r="G643" s="751">
        <v>0</v>
      </c>
      <c r="H643" s="752"/>
    </row>
    <row r="644" spans="1:8" ht="15.75" thickBot="1">
      <c r="A644" s="4297"/>
      <c r="B644" s="1134">
        <v>90026</v>
      </c>
      <c r="C644" s="1108" t="s">
        <v>75</v>
      </c>
      <c r="D644" s="1109"/>
      <c r="E644" s="605">
        <f>E645+E648</f>
        <v>150000</v>
      </c>
      <c r="F644" s="605">
        <f>F645+F648</f>
        <v>150000</v>
      </c>
      <c r="G644" s="606">
        <f>G645+G648</f>
        <v>198635.2</v>
      </c>
      <c r="H644" s="607">
        <f>G644/F644</f>
        <v>1.3242346666666667</v>
      </c>
    </row>
    <row r="645" spans="1:8">
      <c r="A645" s="4297"/>
      <c r="B645" s="4298" t="s">
        <v>370</v>
      </c>
      <c r="C645" s="4298"/>
      <c r="D645" s="1111"/>
      <c r="E645" s="537">
        <f>SUM(E646:E647)</f>
        <v>150000</v>
      </c>
      <c r="F645" s="537">
        <f t="shared" ref="F645:G645" si="136">SUM(F646:F647)</f>
        <v>150000</v>
      </c>
      <c r="G645" s="538">
        <f t="shared" si="136"/>
        <v>198635.2</v>
      </c>
      <c r="H645" s="744">
        <f>G645/F645</f>
        <v>1.3242346666666667</v>
      </c>
    </row>
    <row r="646" spans="1:8" s="1175" customFormat="1" ht="38.25">
      <c r="A646" s="4297"/>
      <c r="B646" s="4299"/>
      <c r="C646" s="1434" t="s">
        <v>719</v>
      </c>
      <c r="D646" s="1359" t="s">
        <v>180</v>
      </c>
      <c r="E646" s="541">
        <v>0</v>
      </c>
      <c r="F646" s="541">
        <v>0</v>
      </c>
      <c r="G646" s="542">
        <v>136</v>
      </c>
      <c r="H646" s="632"/>
    </row>
    <row r="647" spans="1:8" s="1175" customFormat="1" ht="38.25">
      <c r="A647" s="4297"/>
      <c r="B647" s="4300"/>
      <c r="C647" s="1171" t="s">
        <v>725</v>
      </c>
      <c r="D647" s="1359" t="s">
        <v>18</v>
      </c>
      <c r="E647" s="541">
        <v>150000</v>
      </c>
      <c r="F647" s="541">
        <v>150000</v>
      </c>
      <c r="G647" s="542">
        <v>198499.20000000001</v>
      </c>
      <c r="H647" s="632">
        <f>G647/F647</f>
        <v>1.3233280000000001</v>
      </c>
    </row>
    <row r="648" spans="1:8" s="1175" customFormat="1" ht="14.25" customHeight="1" thickBot="1">
      <c r="A648" s="4297"/>
      <c r="B648" s="4301" t="s">
        <v>375</v>
      </c>
      <c r="C648" s="4301"/>
      <c r="D648" s="1115"/>
      <c r="E648" s="750">
        <v>0</v>
      </c>
      <c r="F648" s="750">
        <v>0</v>
      </c>
      <c r="G648" s="751">
        <v>0</v>
      </c>
      <c r="H648" s="752"/>
    </row>
    <row r="649" spans="1:8" s="1175" customFormat="1" ht="14.25" customHeight="1" thickBot="1">
      <c r="A649" s="1189"/>
      <c r="B649" s="1134">
        <v>90095</v>
      </c>
      <c r="C649" s="1108" t="s">
        <v>95</v>
      </c>
      <c r="D649" s="1109"/>
      <c r="E649" s="605">
        <f>E650+E654</f>
        <v>0</v>
      </c>
      <c r="F649" s="605">
        <f t="shared" ref="F649:G649" si="137">F650+F654</f>
        <v>0</v>
      </c>
      <c r="G649" s="606">
        <f t="shared" si="137"/>
        <v>12636.1</v>
      </c>
      <c r="H649" s="607"/>
    </row>
    <row r="650" spans="1:8" s="1175" customFormat="1">
      <c r="A650" s="1189"/>
      <c r="B650" s="4298" t="s">
        <v>370</v>
      </c>
      <c r="C650" s="4298"/>
      <c r="D650" s="1111"/>
      <c r="E650" s="537">
        <f>SUM(E651:E653)</f>
        <v>0</v>
      </c>
      <c r="F650" s="537">
        <f t="shared" ref="F650:G650" si="138">SUM(F651:F653)</f>
        <v>0</v>
      </c>
      <c r="G650" s="538">
        <f t="shared" si="138"/>
        <v>12636.1</v>
      </c>
      <c r="H650" s="744"/>
    </row>
    <row r="651" spans="1:8" s="1175" customFormat="1">
      <c r="A651" s="1189"/>
      <c r="B651" s="1161"/>
      <c r="C651" s="1171" t="s">
        <v>726</v>
      </c>
      <c r="D651" s="1452" t="s">
        <v>18</v>
      </c>
      <c r="E651" s="541">
        <v>0</v>
      </c>
      <c r="F651" s="541">
        <v>0</v>
      </c>
      <c r="G651" s="542">
        <v>1658.5</v>
      </c>
      <c r="H651" s="632"/>
    </row>
    <row r="652" spans="1:8" s="1175" customFormat="1" ht="39" thickBot="1">
      <c r="A652" s="1218"/>
      <c r="B652" s="1163"/>
      <c r="C652" s="1169" t="s">
        <v>727</v>
      </c>
      <c r="D652" s="1453" t="s">
        <v>392</v>
      </c>
      <c r="E652" s="1070">
        <v>0</v>
      </c>
      <c r="F652" s="1070">
        <v>0</v>
      </c>
      <c r="G652" s="1071">
        <v>1812</v>
      </c>
      <c r="H652" s="1271"/>
    </row>
    <row r="653" spans="1:8" ht="38.25">
      <c r="A653" s="1189"/>
      <c r="B653" s="1251"/>
      <c r="C653" s="1212" t="s">
        <v>728</v>
      </c>
      <c r="D653" s="1454">
        <v>2910</v>
      </c>
      <c r="E653" s="955">
        <v>0</v>
      </c>
      <c r="F653" s="955">
        <v>0</v>
      </c>
      <c r="G653" s="956">
        <v>9165.6</v>
      </c>
      <c r="H653" s="1043"/>
    </row>
    <row r="654" spans="1:8" s="1175" customFormat="1" ht="15.75" thickBot="1">
      <c r="A654" s="1218"/>
      <c r="B654" s="4302" t="s">
        <v>375</v>
      </c>
      <c r="C654" s="4302"/>
      <c r="D654" s="1151"/>
      <c r="E654" s="635">
        <v>0</v>
      </c>
      <c r="F654" s="635">
        <v>0</v>
      </c>
      <c r="G654" s="636">
        <v>0</v>
      </c>
      <c r="H654" s="637"/>
    </row>
    <row r="655" spans="1:8" s="1175" customFormat="1" ht="15.75" thickBot="1">
      <c r="A655" s="1455">
        <v>921</v>
      </c>
      <c r="B655" s="1272"/>
      <c r="C655" s="1273" t="s">
        <v>106</v>
      </c>
      <c r="D655" s="1274"/>
      <c r="E655" s="1275">
        <f>SUM(E662,E669,E674,E688,E694,E702,E683,E656)</f>
        <v>4195605</v>
      </c>
      <c r="F655" s="1275">
        <f>SUM(F662,F669,F674,F688,F694,F702,F683,F656)</f>
        <v>4978163</v>
      </c>
      <c r="G655" s="1276">
        <f>SUM(G662,G669,G674,G688,G694,G702,G683,G656)</f>
        <v>5693974.04</v>
      </c>
      <c r="H655" s="1277">
        <f t="shared" si="135"/>
        <v>1.1437901973077218</v>
      </c>
    </row>
    <row r="656" spans="1:8" s="1175" customFormat="1" ht="14.25" hidden="1" customHeight="1" thickBot="1">
      <c r="A656" s="1456"/>
      <c r="B656" s="1333">
        <v>92105</v>
      </c>
      <c r="C656" s="1280" t="s">
        <v>360</v>
      </c>
      <c r="D656" s="1281"/>
      <c r="E656" s="757">
        <f>E657+E661</f>
        <v>0</v>
      </c>
      <c r="F656" s="757">
        <f>F657+F661</f>
        <v>0</v>
      </c>
      <c r="G656" s="758">
        <f>G657+G661</f>
        <v>0</v>
      </c>
      <c r="H656" s="759"/>
    </row>
    <row r="657" spans="1:8" s="1175" customFormat="1" ht="15.75" hidden="1" thickBot="1">
      <c r="A657" s="1456"/>
      <c r="B657" s="4276" t="s">
        <v>370</v>
      </c>
      <c r="C657" s="4277"/>
      <c r="D657" s="1457"/>
      <c r="E657" s="761">
        <f>SUM(E658:E660)</f>
        <v>0</v>
      </c>
      <c r="F657" s="761">
        <f t="shared" ref="F657:G657" si="139">SUM(F658:F660)</f>
        <v>0</v>
      </c>
      <c r="G657" s="762">
        <f t="shared" si="139"/>
        <v>0</v>
      </c>
      <c r="H657" s="761"/>
    </row>
    <row r="658" spans="1:8" s="1175" customFormat="1" ht="17.25" hidden="1" customHeight="1">
      <c r="A658" s="1456"/>
      <c r="B658" s="4294"/>
      <c r="C658" s="1331" t="s">
        <v>729</v>
      </c>
      <c r="D658" s="1458" t="s">
        <v>392</v>
      </c>
      <c r="E658" s="772">
        <v>0</v>
      </c>
      <c r="F658" s="772">
        <v>0</v>
      </c>
      <c r="G658" s="773">
        <v>0</v>
      </c>
      <c r="H658" s="1459"/>
    </row>
    <row r="659" spans="1:8" s="1175" customFormat="1" ht="15.75" hidden="1" customHeight="1">
      <c r="A659" s="1456"/>
      <c r="B659" s="4291"/>
      <c r="C659" s="1460" t="s">
        <v>730</v>
      </c>
      <c r="D659" s="1458" t="s">
        <v>201</v>
      </c>
      <c r="E659" s="992">
        <v>0</v>
      </c>
      <c r="F659" s="992">
        <v>0</v>
      </c>
      <c r="G659" s="805">
        <v>0</v>
      </c>
      <c r="H659" s="1461"/>
    </row>
    <row r="660" spans="1:8" s="1175" customFormat="1" ht="43.5" hidden="1" customHeight="1">
      <c r="A660" s="1456"/>
      <c r="B660" s="4292"/>
      <c r="C660" s="1462" t="s">
        <v>731</v>
      </c>
      <c r="D660" s="1285" t="s">
        <v>431</v>
      </c>
      <c r="E660" s="985">
        <v>0</v>
      </c>
      <c r="F660" s="985">
        <v>0</v>
      </c>
      <c r="G660" s="986">
        <v>0</v>
      </c>
      <c r="H660" s="1036"/>
    </row>
    <row r="661" spans="1:8" s="1175" customFormat="1" ht="15" hidden="1" customHeight="1" thickBot="1">
      <c r="A661" s="1456"/>
      <c r="B661" s="4285" t="s">
        <v>375</v>
      </c>
      <c r="C661" s="4295"/>
      <c r="D661" s="1463"/>
      <c r="E661" s="1032">
        <v>0</v>
      </c>
      <c r="F661" s="1032">
        <v>0</v>
      </c>
      <c r="G661" s="1033">
        <v>0</v>
      </c>
      <c r="H661" s="1034"/>
    </row>
    <row r="662" spans="1:8" ht="15.75" thickBot="1">
      <c r="A662" s="1464"/>
      <c r="B662" s="1333">
        <v>92106</v>
      </c>
      <c r="C662" s="1280" t="s">
        <v>108</v>
      </c>
      <c r="D662" s="1281"/>
      <c r="E662" s="757">
        <f>E663+E667</f>
        <v>0</v>
      </c>
      <c r="F662" s="757">
        <f>F663+F667</f>
        <v>0</v>
      </c>
      <c r="G662" s="758">
        <f>G663+G667</f>
        <v>6281.18</v>
      </c>
      <c r="H662" s="759"/>
    </row>
    <row r="663" spans="1:8" s="1175" customFormat="1">
      <c r="A663" s="1456"/>
      <c r="B663" s="4276" t="s">
        <v>370</v>
      </c>
      <c r="C663" s="4277"/>
      <c r="D663" s="1283"/>
      <c r="E663" s="982">
        <f>SUM(E664:E666)</f>
        <v>0</v>
      </c>
      <c r="F663" s="982">
        <f t="shared" ref="F663" si="140">SUM(F664:F666)</f>
        <v>0</v>
      </c>
      <c r="G663" s="983">
        <f>SUM(G664:G666)</f>
        <v>170</v>
      </c>
      <c r="H663" s="984"/>
    </row>
    <row r="664" spans="1:8" s="1175" customFormat="1">
      <c r="A664" s="1456"/>
      <c r="B664" s="4294"/>
      <c r="C664" s="1465" t="s">
        <v>732</v>
      </c>
      <c r="D664" s="1458" t="s">
        <v>392</v>
      </c>
      <c r="E664" s="772">
        <v>0</v>
      </c>
      <c r="F664" s="772">
        <v>0</v>
      </c>
      <c r="G664" s="773">
        <v>170</v>
      </c>
      <c r="H664" s="1459"/>
    </row>
    <row r="665" spans="1:8" ht="38.25" hidden="1">
      <c r="A665" s="1456"/>
      <c r="B665" s="4291"/>
      <c r="C665" s="1466" t="s">
        <v>733</v>
      </c>
      <c r="D665" s="1467" t="s">
        <v>86</v>
      </c>
      <c r="E665" s="772">
        <v>0</v>
      </c>
      <c r="F665" s="772">
        <v>0</v>
      </c>
      <c r="G665" s="773">
        <v>0</v>
      </c>
      <c r="H665" s="768" t="e">
        <f t="shared" si="135"/>
        <v>#DIV/0!</v>
      </c>
    </row>
    <row r="666" spans="1:8" s="1175" customFormat="1" ht="15.75" hidden="1" thickBot="1">
      <c r="A666" s="1456"/>
      <c r="B666" s="4291"/>
      <c r="C666" s="1468" t="s">
        <v>734</v>
      </c>
      <c r="D666" s="1285" t="s">
        <v>431</v>
      </c>
      <c r="E666" s="818">
        <v>0</v>
      </c>
      <c r="F666" s="818">
        <v>0</v>
      </c>
      <c r="G666" s="819">
        <v>0</v>
      </c>
      <c r="H666" s="820"/>
    </row>
    <row r="667" spans="1:8" s="1175" customFormat="1">
      <c r="A667" s="1456"/>
      <c r="B667" s="4282" t="s">
        <v>416</v>
      </c>
      <c r="C667" s="4296"/>
      <c r="D667" s="1342"/>
      <c r="E667" s="1290">
        <f>E668</f>
        <v>0</v>
      </c>
      <c r="F667" s="1290">
        <f t="shared" ref="F667:G667" si="141">F668</f>
        <v>0</v>
      </c>
      <c r="G667" s="1291">
        <f t="shared" si="141"/>
        <v>6111.18</v>
      </c>
      <c r="H667" s="1292"/>
    </row>
    <row r="668" spans="1:8" s="1175" customFormat="1" ht="26.25" thickBot="1">
      <c r="A668" s="1456"/>
      <c r="B668" s="1469"/>
      <c r="C668" s="1470" t="s">
        <v>735</v>
      </c>
      <c r="D668" s="1298">
        <v>6690</v>
      </c>
      <c r="E668" s="1299">
        <v>0</v>
      </c>
      <c r="F668" s="1299">
        <v>0</v>
      </c>
      <c r="G668" s="1300">
        <v>6111.18</v>
      </c>
      <c r="H668" s="1301"/>
    </row>
    <row r="669" spans="1:8" s="1175" customFormat="1" ht="15.75" thickBot="1">
      <c r="A669" s="1456"/>
      <c r="B669" s="1333">
        <v>92108</v>
      </c>
      <c r="C669" s="1280" t="s">
        <v>109</v>
      </c>
      <c r="D669" s="1281"/>
      <c r="E669" s="757">
        <f t="shared" ref="E669:G669" si="142">E670+E672</f>
        <v>0</v>
      </c>
      <c r="F669" s="757">
        <f t="shared" si="142"/>
        <v>50000</v>
      </c>
      <c r="G669" s="758">
        <f t="shared" si="142"/>
        <v>50000</v>
      </c>
      <c r="H669" s="759">
        <f t="shared" si="135"/>
        <v>1</v>
      </c>
    </row>
    <row r="670" spans="1:8" s="1175" customFormat="1" ht="18" customHeight="1">
      <c r="A670" s="1456"/>
      <c r="B670" s="4276" t="s">
        <v>370</v>
      </c>
      <c r="C670" s="4284"/>
      <c r="D670" s="1283"/>
      <c r="E670" s="982">
        <f>E671</f>
        <v>0</v>
      </c>
      <c r="F670" s="982">
        <f t="shared" ref="F670:G670" si="143">F671</f>
        <v>50000</v>
      </c>
      <c r="G670" s="983">
        <f t="shared" si="143"/>
        <v>50000</v>
      </c>
      <c r="H670" s="984">
        <f t="shared" si="135"/>
        <v>1</v>
      </c>
    </row>
    <row r="671" spans="1:8" s="1175" customFormat="1" ht="38.25">
      <c r="A671" s="1456"/>
      <c r="B671" s="1471"/>
      <c r="C671" s="1468" t="s">
        <v>733</v>
      </c>
      <c r="D671" s="1467" t="s">
        <v>86</v>
      </c>
      <c r="E671" s="772">
        <v>0</v>
      </c>
      <c r="F671" s="772">
        <v>50000</v>
      </c>
      <c r="G671" s="773">
        <v>50000</v>
      </c>
      <c r="H671" s="768">
        <f t="shared" si="135"/>
        <v>1</v>
      </c>
    </row>
    <row r="672" spans="1:8" s="1175" customFormat="1" ht="15.75" customHeight="1" thickBot="1">
      <c r="A672" s="1286"/>
      <c r="B672" s="4289" t="s">
        <v>375</v>
      </c>
      <c r="C672" s="4290"/>
      <c r="D672" s="1472"/>
      <c r="E672" s="551">
        <f>E673</f>
        <v>0</v>
      </c>
      <c r="F672" s="551">
        <f t="shared" ref="F672:G672" si="144">F673</f>
        <v>0</v>
      </c>
      <c r="G672" s="552">
        <f t="shared" si="144"/>
        <v>0</v>
      </c>
      <c r="H672" s="1143"/>
    </row>
    <row r="673" spans="1:8" s="1175" customFormat="1" ht="15.75" hidden="1" customHeight="1" thickBot="1">
      <c r="A673" s="1286"/>
      <c r="B673" s="1473"/>
      <c r="C673" s="1474" t="s">
        <v>736</v>
      </c>
      <c r="D673" s="1185">
        <v>6660</v>
      </c>
      <c r="E673" s="687">
        <v>0</v>
      </c>
      <c r="F673" s="687">
        <v>0</v>
      </c>
      <c r="G673" s="688">
        <v>0</v>
      </c>
      <c r="H673" s="689"/>
    </row>
    <row r="674" spans="1:8" s="1175" customFormat="1" ht="15.75" customHeight="1" thickBot="1">
      <c r="A674" s="1456"/>
      <c r="B674" s="1279">
        <v>92109</v>
      </c>
      <c r="C674" s="1280" t="s">
        <v>111</v>
      </c>
      <c r="D674" s="1281"/>
      <c r="E674" s="1025">
        <f>E675+E679</f>
        <v>0</v>
      </c>
      <c r="F674" s="1025">
        <f>F675+F679</f>
        <v>348311</v>
      </c>
      <c r="G674" s="1026">
        <f>G675+G679</f>
        <v>796383.97000000009</v>
      </c>
      <c r="H674" s="1027"/>
    </row>
    <row r="675" spans="1:8" s="1175" customFormat="1" ht="14.25" customHeight="1">
      <c r="A675" s="1456"/>
      <c r="B675" s="4276" t="s">
        <v>370</v>
      </c>
      <c r="C675" s="4284"/>
      <c r="D675" s="1283"/>
      <c r="E675" s="761">
        <f>SUM(E676:E678)</f>
        <v>0</v>
      </c>
      <c r="F675" s="761">
        <f t="shared" ref="F675:G675" si="145">SUM(F676:F678)</f>
        <v>348311</v>
      </c>
      <c r="G675" s="762">
        <f t="shared" si="145"/>
        <v>698107.82000000007</v>
      </c>
      <c r="H675" s="763"/>
    </row>
    <row r="676" spans="1:8" s="1175" customFormat="1" ht="22.5" hidden="1" customHeight="1">
      <c r="A676" s="1456"/>
      <c r="B676" s="4291"/>
      <c r="C676" s="1475" t="s">
        <v>729</v>
      </c>
      <c r="D676" s="1467" t="s">
        <v>392</v>
      </c>
      <c r="E676" s="992">
        <v>0</v>
      </c>
      <c r="F676" s="992">
        <v>0</v>
      </c>
      <c r="G676" s="805">
        <v>0</v>
      </c>
      <c r="H676" s="1013"/>
    </row>
    <row r="677" spans="1:8" s="1177" customFormat="1" ht="38.25">
      <c r="A677" s="1456"/>
      <c r="B677" s="4291"/>
      <c r="C677" s="1460" t="s">
        <v>737</v>
      </c>
      <c r="D677" s="1288">
        <v>2910</v>
      </c>
      <c r="E677" s="770">
        <v>0</v>
      </c>
      <c r="F677" s="770">
        <v>0</v>
      </c>
      <c r="G677" s="771">
        <v>343927.38</v>
      </c>
      <c r="H677" s="1015"/>
    </row>
    <row r="678" spans="1:8" ht="25.5">
      <c r="A678" s="1456"/>
      <c r="B678" s="4292"/>
      <c r="C678" s="1460" t="s">
        <v>735</v>
      </c>
      <c r="D678" s="1288">
        <v>2950</v>
      </c>
      <c r="E678" s="766">
        <v>0</v>
      </c>
      <c r="F678" s="766">
        <v>348311</v>
      </c>
      <c r="G678" s="767">
        <v>354180.44</v>
      </c>
      <c r="H678" s="1017"/>
    </row>
    <row r="679" spans="1:8">
      <c r="A679" s="1456"/>
      <c r="B679" s="4285" t="s">
        <v>416</v>
      </c>
      <c r="C679" s="4286"/>
      <c r="D679" s="1463"/>
      <c r="E679" s="1032">
        <f>SUM(E680:E682)</f>
        <v>0</v>
      </c>
      <c r="F679" s="1032">
        <f t="shared" ref="F679:G679" si="146">SUM(F680:F682)</f>
        <v>0</v>
      </c>
      <c r="G679" s="1033">
        <f t="shared" si="146"/>
        <v>98276.150000000009</v>
      </c>
      <c r="H679" s="1034"/>
    </row>
    <row r="680" spans="1:8" ht="38.25">
      <c r="A680" s="1456"/>
      <c r="B680" s="1302"/>
      <c r="C680" s="1476" t="s">
        <v>737</v>
      </c>
      <c r="D680" s="1477">
        <v>6660</v>
      </c>
      <c r="E680" s="770">
        <v>0</v>
      </c>
      <c r="F680" s="770">
        <v>0</v>
      </c>
      <c r="G680" s="771">
        <v>14768.05</v>
      </c>
      <c r="H680" s="1015"/>
    </row>
    <row r="681" spans="1:8" ht="26.25" thickBot="1">
      <c r="A681" s="1456"/>
      <c r="B681" s="1478"/>
      <c r="C681" s="1479" t="s">
        <v>735</v>
      </c>
      <c r="D681" s="1480">
        <v>6690</v>
      </c>
      <c r="E681" s="1481">
        <v>0</v>
      </c>
      <c r="F681" s="1299">
        <v>0</v>
      </c>
      <c r="G681" s="1482">
        <v>83508.100000000006</v>
      </c>
      <c r="H681" s="1301"/>
    </row>
    <row r="682" spans="1:8" ht="2.25" hidden="1" customHeight="1" thickBot="1">
      <c r="A682" s="1286"/>
      <c r="B682" s="1237"/>
      <c r="C682" s="1483"/>
      <c r="D682" s="1484" t="s">
        <v>636</v>
      </c>
      <c r="E682" s="1485">
        <v>0</v>
      </c>
      <c r="F682" s="1485">
        <v>0</v>
      </c>
      <c r="G682" s="1486">
        <v>0</v>
      </c>
      <c r="H682" s="965"/>
    </row>
    <row r="683" spans="1:8" ht="15" customHeight="1" thickBot="1">
      <c r="A683" s="1456"/>
      <c r="B683" s="1279">
        <v>92114</v>
      </c>
      <c r="C683" s="1280" t="s">
        <v>738</v>
      </c>
      <c r="D683" s="1281"/>
      <c r="E683" s="1025">
        <f>E684+E686</f>
        <v>0</v>
      </c>
      <c r="F683" s="1025">
        <f t="shared" ref="F683:G683" si="147">F684+F686</f>
        <v>0</v>
      </c>
      <c r="G683" s="1026">
        <f t="shared" si="147"/>
        <v>11219.51</v>
      </c>
      <c r="H683" s="1027"/>
    </row>
    <row r="684" spans="1:8">
      <c r="A684" s="1456"/>
      <c r="B684" s="4293" t="s">
        <v>370</v>
      </c>
      <c r="C684" s="4288"/>
      <c r="D684" s="1457"/>
      <c r="E684" s="982">
        <f>E685</f>
        <v>0</v>
      </c>
      <c r="F684" s="982">
        <f t="shared" ref="F684:G684" si="148">F685</f>
        <v>0</v>
      </c>
      <c r="G684" s="983">
        <f t="shared" si="148"/>
        <v>0</v>
      </c>
      <c r="H684" s="984"/>
    </row>
    <row r="685" spans="1:8" ht="42.75" hidden="1" customHeight="1">
      <c r="A685" s="1456"/>
      <c r="B685" s="1487"/>
      <c r="C685" s="1466" t="s">
        <v>734</v>
      </c>
      <c r="D685" s="1467" t="s">
        <v>431</v>
      </c>
      <c r="E685" s="772">
        <v>0</v>
      </c>
      <c r="F685" s="772">
        <v>0</v>
      </c>
      <c r="G685" s="773">
        <v>0</v>
      </c>
      <c r="H685" s="768"/>
    </row>
    <row r="686" spans="1:8">
      <c r="A686" s="1456"/>
      <c r="B686" s="4282" t="s">
        <v>416</v>
      </c>
      <c r="C686" s="4283"/>
      <c r="D686" s="1295"/>
      <c r="E686" s="995">
        <f>E687</f>
        <v>0</v>
      </c>
      <c r="F686" s="995">
        <f t="shared" ref="F686:G686" si="149">F687</f>
        <v>0</v>
      </c>
      <c r="G686" s="996">
        <f t="shared" si="149"/>
        <v>11219.51</v>
      </c>
      <c r="H686" s="794"/>
    </row>
    <row r="687" spans="1:8" ht="21.75" customHeight="1" thickBot="1">
      <c r="A687" s="1488"/>
      <c r="B687" s="1489"/>
      <c r="C687" s="1490" t="s">
        <v>734</v>
      </c>
      <c r="D687" s="1491" t="s">
        <v>739</v>
      </c>
      <c r="E687" s="818">
        <v>0</v>
      </c>
      <c r="F687" s="818">
        <v>0</v>
      </c>
      <c r="G687" s="819">
        <v>11219.51</v>
      </c>
      <c r="H687" s="820"/>
    </row>
    <row r="688" spans="1:8" ht="15.75" thickBot="1">
      <c r="A688" s="1456"/>
      <c r="B688" s="1492">
        <v>92116</v>
      </c>
      <c r="C688" s="1493" t="s">
        <v>740</v>
      </c>
      <c r="D688" s="1494"/>
      <c r="E688" s="1495">
        <f>SUM(E689,E692)</f>
        <v>4190605</v>
      </c>
      <c r="F688" s="1495">
        <f>SUM(F689,F692)</f>
        <v>4574852</v>
      </c>
      <c r="G688" s="1496">
        <f>SUM(G689,G692)</f>
        <v>4574147.5</v>
      </c>
      <c r="H688" s="1497">
        <f t="shared" si="135"/>
        <v>0.99984600594729622</v>
      </c>
    </row>
    <row r="689" spans="1:8">
      <c r="A689" s="1456"/>
      <c r="B689" s="4276" t="s">
        <v>370</v>
      </c>
      <c r="C689" s="4284"/>
      <c r="D689" s="1283"/>
      <c r="E689" s="982">
        <f>SUM(E690:E691)</f>
        <v>4190605</v>
      </c>
      <c r="F689" s="982">
        <f>SUM(F690:F691)</f>
        <v>4538852</v>
      </c>
      <c r="G689" s="983">
        <f>SUM(G690:G691)</f>
        <v>4538852</v>
      </c>
      <c r="H689" s="984">
        <f t="shared" si="135"/>
        <v>1</v>
      </c>
    </row>
    <row r="690" spans="1:8" s="1177" customFormat="1" ht="38.25">
      <c r="A690" s="1456"/>
      <c r="B690" s="4270"/>
      <c r="C690" s="1498" t="s">
        <v>741</v>
      </c>
      <c r="D690" s="1288">
        <v>2310</v>
      </c>
      <c r="E690" s="772">
        <v>4110605</v>
      </c>
      <c r="F690" s="772">
        <v>4458852</v>
      </c>
      <c r="G690" s="773">
        <v>4458852</v>
      </c>
      <c r="H690" s="768">
        <f t="shared" si="135"/>
        <v>1</v>
      </c>
    </row>
    <row r="691" spans="1:8" ht="38.25">
      <c r="A691" s="1456"/>
      <c r="B691" s="4271"/>
      <c r="C691" s="1498" t="s">
        <v>742</v>
      </c>
      <c r="D691" s="1288">
        <v>2320</v>
      </c>
      <c r="E691" s="772">
        <v>80000</v>
      </c>
      <c r="F691" s="772">
        <v>80000</v>
      </c>
      <c r="G691" s="773">
        <v>80000</v>
      </c>
      <c r="H691" s="768">
        <f t="shared" si="135"/>
        <v>1</v>
      </c>
    </row>
    <row r="692" spans="1:8">
      <c r="A692" s="1456"/>
      <c r="B692" s="4285" t="s">
        <v>416</v>
      </c>
      <c r="C692" s="4286"/>
      <c r="D692" s="1463"/>
      <c r="E692" s="1032">
        <f>SUM(E693)</f>
        <v>0</v>
      </c>
      <c r="F692" s="1032">
        <f t="shared" ref="F692:G692" si="150">SUM(F693)</f>
        <v>36000</v>
      </c>
      <c r="G692" s="1032">
        <f t="shared" si="150"/>
        <v>35295.5</v>
      </c>
      <c r="H692" s="1499">
        <f>G692/F692</f>
        <v>0.98043055555555558</v>
      </c>
    </row>
    <row r="693" spans="1:8" s="1504" customFormat="1" ht="39" thickBot="1">
      <c r="A693" s="1500"/>
      <c r="B693" s="1501"/>
      <c r="C693" s="1502" t="s">
        <v>743</v>
      </c>
      <c r="D693" s="1503">
        <v>6610</v>
      </c>
      <c r="E693" s="766"/>
      <c r="F693" s="766">
        <v>36000</v>
      </c>
      <c r="G693" s="767">
        <v>35295.5</v>
      </c>
      <c r="H693" s="1036">
        <f t="shared" si="135"/>
        <v>0.98043055555555558</v>
      </c>
    </row>
    <row r="694" spans="1:8" ht="15.75" thickBot="1">
      <c r="A694" s="4287"/>
      <c r="B694" s="1279">
        <v>92118</v>
      </c>
      <c r="C694" s="1280" t="s">
        <v>196</v>
      </c>
      <c r="D694" s="1281"/>
      <c r="E694" s="1025">
        <f>E695+E699</f>
        <v>0</v>
      </c>
      <c r="F694" s="1025">
        <f t="shared" ref="F694:G694" si="151">F695+F699</f>
        <v>0</v>
      </c>
      <c r="G694" s="1026">
        <f t="shared" si="151"/>
        <v>245046.09</v>
      </c>
      <c r="H694" s="1027"/>
    </row>
    <row r="695" spans="1:8" s="1175" customFormat="1">
      <c r="A695" s="4287"/>
      <c r="B695" s="4276" t="s">
        <v>370</v>
      </c>
      <c r="C695" s="4288"/>
      <c r="D695" s="1457"/>
      <c r="E695" s="982">
        <f>SUM(E696:E698)</f>
        <v>0</v>
      </c>
      <c r="F695" s="982">
        <f t="shared" ref="F695:G695" si="152">SUM(F696:F698)</f>
        <v>0</v>
      </c>
      <c r="G695" s="983">
        <f t="shared" si="152"/>
        <v>232878.88</v>
      </c>
      <c r="H695" s="984"/>
    </row>
    <row r="696" spans="1:8" s="1177" customFormat="1" ht="15" hidden="1" customHeight="1">
      <c r="A696" s="1505"/>
      <c r="B696" s="4270"/>
      <c r="C696" s="1460" t="s">
        <v>729</v>
      </c>
      <c r="D696" s="1374" t="s">
        <v>392</v>
      </c>
      <c r="E696" s="770">
        <v>0</v>
      </c>
      <c r="F696" s="770">
        <v>0</v>
      </c>
      <c r="G696" s="771">
        <v>0</v>
      </c>
      <c r="H696" s="1015"/>
    </row>
    <row r="697" spans="1:8" ht="38.25">
      <c r="A697" s="1505"/>
      <c r="B697" s="4271"/>
      <c r="C697" s="1476" t="s">
        <v>737</v>
      </c>
      <c r="D697" s="1374" t="s">
        <v>201</v>
      </c>
      <c r="E697" s="766">
        <v>0</v>
      </c>
      <c r="F697" s="766">
        <v>0</v>
      </c>
      <c r="G697" s="767">
        <v>206125.52</v>
      </c>
      <c r="H697" s="1017"/>
    </row>
    <row r="698" spans="1:8" ht="27" customHeight="1">
      <c r="A698" s="1505"/>
      <c r="B698" s="4272"/>
      <c r="C698" s="1460" t="s">
        <v>735</v>
      </c>
      <c r="D698" s="1374" t="s">
        <v>431</v>
      </c>
      <c r="E698" s="770">
        <v>0</v>
      </c>
      <c r="F698" s="770">
        <v>0</v>
      </c>
      <c r="G698" s="771">
        <v>26753.360000000001</v>
      </c>
      <c r="H698" s="1015"/>
    </row>
    <row r="699" spans="1:8">
      <c r="A699" s="1505"/>
      <c r="B699" s="4273" t="s">
        <v>416</v>
      </c>
      <c r="C699" s="4274"/>
      <c r="D699" s="1334"/>
      <c r="E699" s="792">
        <f>E700+E701</f>
        <v>0</v>
      </c>
      <c r="F699" s="792">
        <f t="shared" ref="F699:G699" si="153">F700+F701</f>
        <v>0</v>
      </c>
      <c r="G699" s="793">
        <f t="shared" si="153"/>
        <v>12167.21</v>
      </c>
      <c r="H699" s="1506"/>
    </row>
    <row r="700" spans="1:8" ht="38.25" hidden="1">
      <c r="A700" s="1505"/>
      <c r="B700" s="4270"/>
      <c r="C700" s="1507" t="s">
        <v>736</v>
      </c>
      <c r="D700" s="1467" t="s">
        <v>178</v>
      </c>
      <c r="E700" s="772">
        <v>0</v>
      </c>
      <c r="F700" s="772">
        <v>0</v>
      </c>
      <c r="G700" s="773">
        <v>0</v>
      </c>
      <c r="H700" s="768"/>
    </row>
    <row r="701" spans="1:8" ht="26.25" customHeight="1" thickBot="1">
      <c r="A701" s="1505"/>
      <c r="B701" s="4275"/>
      <c r="C701" s="1490" t="s">
        <v>735</v>
      </c>
      <c r="D701" s="1491" t="s">
        <v>739</v>
      </c>
      <c r="E701" s="782">
        <v>0</v>
      </c>
      <c r="F701" s="782">
        <v>0</v>
      </c>
      <c r="G701" s="783">
        <v>12167.21</v>
      </c>
      <c r="H701" s="784"/>
    </row>
    <row r="702" spans="1:8" s="1177" customFormat="1" ht="15" customHeight="1" thickBot="1">
      <c r="A702" s="1508"/>
      <c r="B702" s="1492">
        <v>92195</v>
      </c>
      <c r="C702" s="1493" t="s">
        <v>95</v>
      </c>
      <c r="D702" s="1494"/>
      <c r="E702" s="1495">
        <f>E703+E705</f>
        <v>5000</v>
      </c>
      <c r="F702" s="1495">
        <f>F703+F705</f>
        <v>5000</v>
      </c>
      <c r="G702" s="1496">
        <f>G703+G705</f>
        <v>10895.79</v>
      </c>
      <c r="H702" s="1497">
        <f t="shared" ref="H702:H711" si="154">G702/F702</f>
        <v>2.1791580000000002</v>
      </c>
    </row>
    <row r="703" spans="1:8" ht="14.25" customHeight="1">
      <c r="A703" s="1509"/>
      <c r="B703" s="4276" t="s">
        <v>370</v>
      </c>
      <c r="C703" s="4277"/>
      <c r="D703" s="1510"/>
      <c r="E703" s="982">
        <f>E704</f>
        <v>5000</v>
      </c>
      <c r="F703" s="982">
        <f t="shared" ref="F703:G703" si="155">F704</f>
        <v>5000</v>
      </c>
      <c r="G703" s="983">
        <f t="shared" si="155"/>
        <v>10895.79</v>
      </c>
      <c r="H703" s="984">
        <f t="shared" si="154"/>
        <v>2.1791580000000002</v>
      </c>
    </row>
    <row r="704" spans="1:8" ht="51">
      <c r="A704" s="1509"/>
      <c r="B704" s="1511"/>
      <c r="C704" s="1512" t="s">
        <v>744</v>
      </c>
      <c r="D704" s="1513" t="s">
        <v>517</v>
      </c>
      <c r="E704" s="772">
        <v>5000</v>
      </c>
      <c r="F704" s="772">
        <v>5000</v>
      </c>
      <c r="G704" s="773">
        <v>10895.79</v>
      </c>
      <c r="H704" s="768">
        <f t="shared" si="154"/>
        <v>2.1791580000000002</v>
      </c>
    </row>
    <row r="705" spans="1:8" ht="15.75" customHeight="1" thickBot="1">
      <c r="A705" s="1514"/>
      <c r="B705" s="4278" t="s">
        <v>375</v>
      </c>
      <c r="C705" s="4279"/>
      <c r="D705" s="1332"/>
      <c r="E705" s="1007">
        <v>0</v>
      </c>
      <c r="F705" s="1007">
        <v>0</v>
      </c>
      <c r="G705" s="1008">
        <f t="shared" si="132"/>
        <v>0</v>
      </c>
      <c r="H705" s="1009"/>
    </row>
    <row r="706" spans="1:8" s="505" customFormat="1" ht="26.25" thickBot="1">
      <c r="A706" s="1432">
        <v>925</v>
      </c>
      <c r="B706" s="1515"/>
      <c r="C706" s="1516" t="s">
        <v>745</v>
      </c>
      <c r="D706" s="1517"/>
      <c r="E706" s="1518">
        <f>E707+E713</f>
        <v>619000</v>
      </c>
      <c r="F706" s="1518">
        <f t="shared" ref="F706:G706" si="156">F707+F713</f>
        <v>730406</v>
      </c>
      <c r="G706" s="1519">
        <f t="shared" si="156"/>
        <v>736120.52</v>
      </c>
      <c r="H706" s="1387">
        <f t="shared" si="154"/>
        <v>1.0078237582933327</v>
      </c>
    </row>
    <row r="707" spans="1:8" s="505" customFormat="1" ht="16.5" customHeight="1" thickBot="1">
      <c r="A707" s="1520"/>
      <c r="B707" s="1521">
        <v>92502</v>
      </c>
      <c r="C707" s="1522" t="s">
        <v>746</v>
      </c>
      <c r="D707" s="1523"/>
      <c r="E707" s="532">
        <f>E708+E712</f>
        <v>619000</v>
      </c>
      <c r="F707" s="532">
        <f>F708+F712</f>
        <v>730406</v>
      </c>
      <c r="G707" s="533">
        <f>G708+G712</f>
        <v>736120.52</v>
      </c>
      <c r="H707" s="534">
        <f t="shared" si="154"/>
        <v>1.0078237582933327</v>
      </c>
    </row>
    <row r="708" spans="1:8" s="505" customFormat="1" ht="15.75" customHeight="1">
      <c r="A708" s="1520"/>
      <c r="B708" s="4280" t="s">
        <v>370</v>
      </c>
      <c r="C708" s="4281"/>
      <c r="D708" s="1524"/>
      <c r="E708" s="537">
        <f>SUM(E709:E711)</f>
        <v>619000</v>
      </c>
      <c r="F708" s="537">
        <f t="shared" ref="F708" si="157">SUM(F709:F711)</f>
        <v>730406</v>
      </c>
      <c r="G708" s="538">
        <f>SUM(G709:G711)</f>
        <v>736120.52</v>
      </c>
      <c r="H708" s="744">
        <f t="shared" si="154"/>
        <v>1.0078237582933327</v>
      </c>
    </row>
    <row r="709" spans="1:8" s="505" customFormat="1" ht="25.5">
      <c r="A709" s="1520"/>
      <c r="B709" s="1365"/>
      <c r="C709" s="1525" t="s">
        <v>747</v>
      </c>
      <c r="D709" s="1526" t="s">
        <v>373</v>
      </c>
      <c r="E709" s="1068">
        <v>0</v>
      </c>
      <c r="F709" s="1068">
        <v>0</v>
      </c>
      <c r="G709" s="1069">
        <v>5717.82</v>
      </c>
      <c r="H709" s="1527"/>
    </row>
    <row r="710" spans="1:8" s="505" customFormat="1" ht="25.5">
      <c r="A710" s="1520"/>
      <c r="B710" s="1166"/>
      <c r="C710" s="1360" t="s">
        <v>658</v>
      </c>
      <c r="D710" s="1528">
        <v>2230</v>
      </c>
      <c r="E710" s="545">
        <v>619000</v>
      </c>
      <c r="F710" s="545">
        <v>619000</v>
      </c>
      <c r="G710" s="546">
        <v>618998.4</v>
      </c>
      <c r="H710" s="547">
        <f t="shared" si="154"/>
        <v>0.99999741518578356</v>
      </c>
    </row>
    <row r="711" spans="1:8" s="505" customFormat="1" ht="25.5">
      <c r="A711" s="1520"/>
      <c r="B711" s="1258"/>
      <c r="C711" s="1122" t="s">
        <v>395</v>
      </c>
      <c r="D711" s="1529">
        <v>2460</v>
      </c>
      <c r="E711" s="545">
        <v>0</v>
      </c>
      <c r="F711" s="545">
        <v>111406</v>
      </c>
      <c r="G711" s="546">
        <v>111404.3</v>
      </c>
      <c r="H711" s="547">
        <f t="shared" si="154"/>
        <v>0.99998474049871644</v>
      </c>
    </row>
    <row r="712" spans="1:8" s="505" customFormat="1" ht="15.75" customHeight="1" thickBot="1">
      <c r="A712" s="1520"/>
      <c r="B712" s="4257" t="s">
        <v>416</v>
      </c>
      <c r="C712" s="4258"/>
      <c r="D712" s="1152"/>
      <c r="E712" s="1530">
        <v>0</v>
      </c>
      <c r="F712" s="1530">
        <v>0</v>
      </c>
      <c r="G712" s="1531">
        <v>0</v>
      </c>
      <c r="H712" s="1532"/>
    </row>
    <row r="713" spans="1:8" ht="21.75" hidden="1" customHeight="1" thickBot="1">
      <c r="A713" s="1533"/>
      <c r="B713" s="1534">
        <v>92595</v>
      </c>
      <c r="C713" s="1535" t="s">
        <v>95</v>
      </c>
      <c r="D713" s="1523"/>
      <c r="E713" s="1087">
        <f>E714+E716</f>
        <v>0</v>
      </c>
      <c r="F713" s="1087">
        <f>F714+F716</f>
        <v>0</v>
      </c>
      <c r="G713" s="1088">
        <f>G714+G716</f>
        <v>0</v>
      </c>
      <c r="H713" s="1089" t="e">
        <f t="shared" ref="H713:H715" si="158">G713/F713</f>
        <v>#DIV/0!</v>
      </c>
    </row>
    <row r="714" spans="1:8" ht="15" hidden="1" customHeight="1">
      <c r="A714" s="1293"/>
      <c r="B714" s="4259" t="s">
        <v>370</v>
      </c>
      <c r="C714" s="4260"/>
      <c r="D714" s="1524"/>
      <c r="E714" s="940">
        <f>SUM(E715:E715)</f>
        <v>0</v>
      </c>
      <c r="F714" s="940">
        <f>SUM(F715:F715)</f>
        <v>0</v>
      </c>
      <c r="G714" s="941">
        <f>SUM(G715:G715)</f>
        <v>0</v>
      </c>
      <c r="H714" s="942" t="e">
        <f t="shared" si="158"/>
        <v>#DIV/0!</v>
      </c>
    </row>
    <row r="715" spans="1:8" ht="26.25" hidden="1" thickBot="1">
      <c r="A715" s="1293"/>
      <c r="B715" s="1536"/>
      <c r="C715" s="1537" t="s">
        <v>395</v>
      </c>
      <c r="D715" s="1538">
        <v>2460</v>
      </c>
      <c r="E715" s="850">
        <v>0</v>
      </c>
      <c r="F715" s="850">
        <v>0</v>
      </c>
      <c r="G715" s="851">
        <v>0</v>
      </c>
      <c r="H715" s="548" t="e">
        <f t="shared" si="158"/>
        <v>#DIV/0!</v>
      </c>
    </row>
    <row r="716" spans="1:8" ht="15" hidden="1" customHeight="1" thickBot="1">
      <c r="A716" s="1293"/>
      <c r="B716" s="4261" t="s">
        <v>416</v>
      </c>
      <c r="C716" s="4262"/>
      <c r="D716" s="1358"/>
      <c r="E716" s="1539">
        <v>0</v>
      </c>
      <c r="F716" s="1539">
        <v>0</v>
      </c>
      <c r="G716" s="1540">
        <v>0</v>
      </c>
      <c r="H716" s="1541"/>
    </row>
    <row r="717" spans="1:8" ht="15" customHeight="1" thickBot="1">
      <c r="A717" s="1542">
        <v>926</v>
      </c>
      <c r="B717" s="1543"/>
      <c r="C717" s="1544" t="s">
        <v>168</v>
      </c>
      <c r="D717" s="1545"/>
      <c r="E717" s="1546">
        <f>E718</f>
        <v>0</v>
      </c>
      <c r="F717" s="1546">
        <f t="shared" ref="F717" si="159">F718</f>
        <v>0</v>
      </c>
      <c r="G717" s="1547">
        <f>G718</f>
        <v>39350.86</v>
      </c>
      <c r="H717" s="1548"/>
    </row>
    <row r="718" spans="1:8" ht="15.75" thickBot="1">
      <c r="A718" s="1549"/>
      <c r="B718" s="1107">
        <v>92605</v>
      </c>
      <c r="C718" s="1108" t="s">
        <v>174</v>
      </c>
      <c r="D718" s="1109"/>
      <c r="E718" s="532">
        <f>E719+E723</f>
        <v>0</v>
      </c>
      <c r="F718" s="532">
        <f t="shared" ref="F718" si="160">F719+F723</f>
        <v>0</v>
      </c>
      <c r="G718" s="533">
        <f>G719+G723</f>
        <v>39350.86</v>
      </c>
      <c r="H718" s="534"/>
    </row>
    <row r="719" spans="1:8" ht="15" customHeight="1">
      <c r="A719" s="1549"/>
      <c r="B719" s="4263" t="s">
        <v>370</v>
      </c>
      <c r="C719" s="4264"/>
      <c r="D719" s="1326"/>
      <c r="E719" s="561">
        <f>SUM(E720:E722)</f>
        <v>0</v>
      </c>
      <c r="F719" s="561">
        <f t="shared" ref="F719:G719" si="161">SUM(F720:F722)</f>
        <v>0</v>
      </c>
      <c r="G719" s="562">
        <f t="shared" si="161"/>
        <v>39350.86</v>
      </c>
      <c r="H719" s="539"/>
    </row>
    <row r="720" spans="1:8" ht="41.25" customHeight="1">
      <c r="A720" s="1550"/>
      <c r="B720" s="4265"/>
      <c r="C720" s="1162" t="s">
        <v>748</v>
      </c>
      <c r="D720" s="1359" t="s">
        <v>392</v>
      </c>
      <c r="E720" s="541">
        <v>0</v>
      </c>
      <c r="F720" s="541">
        <v>0</v>
      </c>
      <c r="G720" s="542">
        <v>790.96</v>
      </c>
      <c r="H720" s="1551"/>
    </row>
    <row r="721" spans="1:8" ht="38.25">
      <c r="A721" s="1552"/>
      <c r="B721" s="4266"/>
      <c r="C721" s="1244" t="s">
        <v>749</v>
      </c>
      <c r="D721" s="1359" t="s">
        <v>201</v>
      </c>
      <c r="E721" s="1068">
        <v>0</v>
      </c>
      <c r="F721" s="1068">
        <v>0</v>
      </c>
      <c r="G721" s="1069">
        <v>3465.97</v>
      </c>
      <c r="H721" s="1527"/>
    </row>
    <row r="722" spans="1:8" ht="27" customHeight="1">
      <c r="A722" s="1552"/>
      <c r="B722" s="4267"/>
      <c r="C722" s="1157" t="s">
        <v>750</v>
      </c>
      <c r="D722" s="1359" t="s">
        <v>431</v>
      </c>
      <c r="E722" s="590">
        <v>0</v>
      </c>
      <c r="F722" s="590">
        <v>0</v>
      </c>
      <c r="G722" s="591">
        <v>35093.93</v>
      </c>
      <c r="H722" s="592"/>
    </row>
    <row r="723" spans="1:8" ht="15.75" thickBot="1">
      <c r="A723" s="1552"/>
      <c r="B723" s="4268" t="s">
        <v>375</v>
      </c>
      <c r="C723" s="4269"/>
      <c r="D723" s="1115"/>
      <c r="E723" s="577">
        <v>0</v>
      </c>
      <c r="F723" s="577">
        <v>0</v>
      </c>
      <c r="G723" s="578">
        <f t="shared" si="132"/>
        <v>0</v>
      </c>
      <c r="H723" s="579"/>
    </row>
    <row r="724" spans="1:8" ht="30.75" customHeight="1" thickBot="1">
      <c r="A724" s="4254" t="s">
        <v>290</v>
      </c>
      <c r="B724" s="4255"/>
      <c r="C724" s="4256"/>
      <c r="D724" s="1553"/>
      <c r="E724" s="1554">
        <f>E10+E42+E48+E54+E71+E148+E161+E179+E205+E217+E236+E313+E318+E332+E389+E450+E505+E545+E591+E600+E617+E655+E706+E717</f>
        <v>1191441813</v>
      </c>
      <c r="F724" s="1554">
        <f>F10+F42+F48+F54+F71+F148+F161+F179+F205+F217+F236+F313+F318+F332+F389+F450+F505+F545+F591+F600+F617+F655+F706+F717</f>
        <v>1256442691</v>
      </c>
      <c r="G724" s="1555">
        <f>G10+G42+G48+G54+G71+G148+G161+G179+G205+G217+G236+G313+G318+G332+G389+G450+G505+G545+G591+G600+G617+G655+G706+G717</f>
        <v>1341124503.1999998</v>
      </c>
      <c r="H724" s="1556">
        <f>G724/F724</f>
        <v>1.0673980698097751</v>
      </c>
    </row>
    <row r="725" spans="1:8">
      <c r="A725" s="1557" t="s">
        <v>299</v>
      </c>
      <c r="B725" s="1558"/>
      <c r="C725" s="1558"/>
      <c r="D725" s="1559"/>
      <c r="E725" s="1560"/>
      <c r="F725" s="1560"/>
      <c r="G725" s="1561"/>
      <c r="H725" s="1562"/>
    </row>
    <row r="726" spans="1:8">
      <c r="A726" s="1563" t="s">
        <v>751</v>
      </c>
      <c r="B726" s="1564"/>
      <c r="C726" s="1565"/>
      <c r="D726" s="1566"/>
      <c r="E726" s="1567">
        <f>E597+E492+E356+E273+E12+E20+E26+E34+E44+E50+E73+E86+E93+E100+E105+E139+E143+E163+E181+E189+E193+E207+E219+E230+E238+E243+E258+E263+E278+E282+E315+E320+E328+E334+E344+E348+E352+E360+E364+E378+E391+E397+E401+E411+E429+E469+E488+E496+E507+E438+E461+E478+E483+E714+E512+E524+E552+E556+E602+E608+E612+E619+E628+E639+E689+E708+E703+E150+E56+E338+E442+E452+E469+E578+E663+E670+E675+E695+E719+E157+E650+E224+E465+E474+E547+E593+E645+E684+E657</f>
        <v>912356435</v>
      </c>
      <c r="F726" s="1568">
        <f t="shared" ref="F726:G726" si="162">F597+F492+F356+F273+F12+F20+F26+F34+F44+F50+F73+F86+F93+F100+F105+F139+F143+F163+F181+F189+F193+F207+F219+F230+F238+F243+F258+F263+F278+F282+F315+F320+F328+F334+F344+F348+F352+F360+F364+F378+F391+F397+F401+F411+F429+F469+F488+F496+F507+F438+F461+F478+F483+F714+F512+F524+F552+F556+F602+F608+F612+F619+F628+F639+F689+F708+F703+F150+F56+F338+F442+F452+F469+F578+F663+F670+F675+F695+F719+F157+F650+F224+F465+F474+F547+F593+F645+F684+F657</f>
        <v>950107546</v>
      </c>
      <c r="G726" s="1568">
        <f t="shared" si="162"/>
        <v>1076592003.3199999</v>
      </c>
      <c r="H726" s="1569">
        <f>G726/F726</f>
        <v>1.1331264632646123</v>
      </c>
    </row>
    <row r="727" spans="1:8" s="1576" customFormat="1" thickBot="1">
      <c r="A727" s="1570" t="s">
        <v>752</v>
      </c>
      <c r="B727" s="1571"/>
      <c r="C727" s="1571"/>
      <c r="D727" s="1572"/>
      <c r="E727" s="1573">
        <f>E599+E494+E358+E275+E17+E24+E31+E41+E47+E53+E83+E88+E98+E103+E120+E141+E147+E173+E186+E191+E200+E204+E215+E222+E235+E241+E255+E261+E271+E280+E317+E353+E399+E440+E462+E481+E486+E716+E304+E326+E331+E336+E346+E350+E362+E370+E384+E395+E409+E426+E436+E470+E490+E503+E510+E522+E554+E576+E606+E610+E616+E626+E637+E643+E712+E705+E60+E341+E448+E455+E540+E589+E667+E672+E679+E692+E699+E723+E160+E155+E654+E661+E228+E466+E550+E595+E648+E686+E475</f>
        <v>279085378</v>
      </c>
      <c r="F727" s="1574">
        <f t="shared" ref="F727" si="163">F599+F494+F358+F275+F17+F24+F31+F41+F47+F53+F83+F88+F98+F103+F120+F141+F147+F173+F186+F191+F200+F204+F215+F222+F235+F241+F255+F261+F271+F280+F317+F353+F399+F440+F462+F481+F486+F716+F304+F326+F331+F336+F346+F350+F362+F370+F384+F395+F409+F426+F436+F470+F490+F503+F510+F522+F554+F576+F606+F610+F616+F626+F637+F643+F712+F705+F60+F341+F448+F455+F540+F589+F667+F672+F679+F692+F699+F723+F160+F155+F654+F661+F228+F466+F550+F595+F648+F686+F475</f>
        <v>306335145</v>
      </c>
      <c r="G727" s="1574">
        <f>G599+G494+G358+G275+G17+G24+G31+G41+G47+G53+G83+G88+G98+G103+G120+G141+G147+G173+G186+G191+G200+G204+G215+G222+G235+G241+G255+G261+G271+G280+G317+G353+G399+G440+G462+G481+G486+G716+G304+G326+G331+G336+G346+G350+G362+G370+G384+G395+G409+G426+G436+G470+G490+G503+G510+G522+G554+G576+G606+G610+G616+G626+G637+G643+G712+G705+G60+G341+G448+G455+G540+G589+G667+G672+G679+G692+G699+G723+G160+G155+G654+G661+G228+G466+G550+G595+G648+G686+G475</f>
        <v>264532499.88</v>
      </c>
      <c r="H727" s="1575">
        <f t="shared" ref="H727" si="164">G727/F727</f>
        <v>0.86353950631423626</v>
      </c>
    </row>
    <row r="728" spans="1:8" s="1576" customFormat="1">
      <c r="A728" s="1577"/>
      <c r="B728" s="500"/>
      <c r="C728" s="501"/>
      <c r="D728" s="501"/>
      <c r="G728" s="1578"/>
      <c r="H728" s="1579"/>
    </row>
    <row r="729" spans="1:8" s="1576" customFormat="1">
      <c r="A729" s="1577"/>
      <c r="B729" s="1577"/>
      <c r="C729" s="1577"/>
      <c r="D729" s="1577"/>
      <c r="H729" s="1579"/>
    </row>
    <row r="730" spans="1:8" s="1576" customFormat="1">
      <c r="A730" s="1577"/>
      <c r="B730" s="1577"/>
      <c r="C730" s="1577"/>
      <c r="D730" s="1577"/>
      <c r="G730" s="1578"/>
      <c r="H730" s="1579"/>
    </row>
    <row r="731" spans="1:8" s="1576" customFormat="1" ht="15.75">
      <c r="A731" s="1577"/>
      <c r="B731" s="1577"/>
      <c r="C731" s="1580"/>
      <c r="D731" s="1580"/>
      <c r="E731" s="1581"/>
      <c r="F731" s="1581"/>
      <c r="G731" s="1582"/>
      <c r="H731" s="1579"/>
    </row>
    <row r="732" spans="1:8" s="1576" customFormat="1" ht="15.75">
      <c r="A732" s="1577"/>
      <c r="B732" s="1577"/>
      <c r="C732" s="1580"/>
      <c r="D732" s="1580"/>
      <c r="E732" s="1581"/>
      <c r="F732" s="1581"/>
      <c r="G732" s="1582"/>
      <c r="H732" s="1579"/>
    </row>
    <row r="733" spans="1:8" s="1576" customFormat="1">
      <c r="A733" s="1577"/>
      <c r="B733" s="1577"/>
      <c r="C733" s="1577"/>
      <c r="D733" s="1577"/>
      <c r="G733" s="1578"/>
      <c r="H733" s="1579"/>
    </row>
    <row r="734" spans="1:8" s="1576" customFormat="1">
      <c r="A734" s="1577"/>
      <c r="B734" s="1577"/>
      <c r="C734" s="1577"/>
      <c r="D734" s="1577"/>
      <c r="G734" s="1578"/>
      <c r="H734" s="1579"/>
    </row>
    <row r="735" spans="1:8" s="1576" customFormat="1">
      <c r="A735" s="1577"/>
      <c r="B735" s="1577"/>
      <c r="C735" s="1577"/>
      <c r="D735" s="1577"/>
      <c r="G735" s="1578"/>
      <c r="H735" s="1579"/>
    </row>
    <row r="736" spans="1:8" s="1576" customFormat="1">
      <c r="A736" s="1577"/>
      <c r="B736" s="1577"/>
      <c r="C736" s="1577"/>
      <c r="D736" s="1577"/>
      <c r="G736" s="1578"/>
      <c r="H736" s="1579"/>
    </row>
    <row r="737" spans="1:8" s="1576" customFormat="1">
      <c r="A737" s="1577"/>
      <c r="B737" s="1577"/>
      <c r="C737" s="1577"/>
      <c r="D737" s="1577"/>
      <c r="G737" s="1578"/>
      <c r="H737" s="1579"/>
    </row>
    <row r="738" spans="1:8" s="1576" customFormat="1">
      <c r="A738" s="1577"/>
      <c r="B738" s="1577"/>
      <c r="C738" s="1577"/>
      <c r="D738" s="1577"/>
      <c r="G738" s="1578"/>
      <c r="H738" s="1579"/>
    </row>
    <row r="739" spans="1:8" s="1576" customFormat="1">
      <c r="A739" s="1577"/>
      <c r="B739" s="1577"/>
      <c r="C739" s="1577"/>
      <c r="D739" s="1577"/>
      <c r="G739" s="1578"/>
      <c r="H739" s="1579"/>
    </row>
    <row r="740" spans="1:8" s="1576" customFormat="1">
      <c r="A740" s="1577"/>
      <c r="B740" s="1577"/>
      <c r="C740" s="1577"/>
      <c r="D740" s="1577"/>
      <c r="G740" s="1578"/>
      <c r="H740" s="1579"/>
    </row>
    <row r="741" spans="1:8" s="1576" customFormat="1">
      <c r="A741" s="1577"/>
      <c r="B741" s="1577"/>
      <c r="C741" s="1577"/>
      <c r="D741" s="1577"/>
      <c r="G741" s="1578"/>
      <c r="H741" s="1579"/>
    </row>
    <row r="742" spans="1:8" s="1576" customFormat="1">
      <c r="A742" s="1577"/>
      <c r="B742" s="1577"/>
      <c r="C742" s="1577"/>
      <c r="D742" s="1577"/>
      <c r="G742" s="1578"/>
      <c r="H742" s="1579"/>
    </row>
    <row r="743" spans="1:8" s="1576" customFormat="1">
      <c r="A743" s="1577"/>
      <c r="B743" s="1577"/>
      <c r="C743" s="1577"/>
      <c r="D743" s="1577"/>
      <c r="G743" s="1578"/>
      <c r="H743" s="1579"/>
    </row>
    <row r="744" spans="1:8" s="1576" customFormat="1">
      <c r="A744" s="1577"/>
      <c r="B744" s="1577"/>
      <c r="C744" s="1577"/>
      <c r="D744" s="1577"/>
      <c r="G744" s="1578"/>
      <c r="H744" s="1579"/>
    </row>
    <row r="745" spans="1:8" s="1576" customFormat="1">
      <c r="A745" s="1577"/>
      <c r="B745" s="1577"/>
      <c r="C745" s="1577"/>
      <c r="D745" s="1577"/>
      <c r="G745" s="1578"/>
      <c r="H745" s="1579"/>
    </row>
    <row r="746" spans="1:8" s="1576" customFormat="1">
      <c r="A746" s="1577"/>
      <c r="B746" s="1577"/>
      <c r="C746" s="1577"/>
      <c r="D746" s="1577"/>
      <c r="G746" s="1578"/>
      <c r="H746" s="1579"/>
    </row>
    <row r="747" spans="1:8" s="1576" customFormat="1">
      <c r="A747" s="1577"/>
      <c r="B747" s="1577"/>
      <c r="C747" s="1577"/>
      <c r="D747" s="1577"/>
      <c r="G747" s="1578"/>
      <c r="H747" s="1579"/>
    </row>
    <row r="748" spans="1:8" s="1576" customFormat="1">
      <c r="A748" s="1577"/>
      <c r="B748" s="1577"/>
      <c r="C748" s="1577"/>
      <c r="D748" s="1577"/>
      <c r="G748" s="1578"/>
      <c r="H748" s="1579"/>
    </row>
    <row r="749" spans="1:8" s="1576" customFormat="1">
      <c r="A749" s="1577"/>
      <c r="B749" s="1577"/>
      <c r="C749" s="1577"/>
      <c r="D749" s="1577"/>
      <c r="G749" s="1578"/>
      <c r="H749" s="1579"/>
    </row>
    <row r="750" spans="1:8" s="1576" customFormat="1">
      <c r="A750" s="1577"/>
      <c r="B750" s="1577"/>
      <c r="C750" s="1577"/>
      <c r="D750" s="1577"/>
      <c r="G750" s="1578"/>
      <c r="H750" s="1579"/>
    </row>
    <row r="751" spans="1:8" s="1576" customFormat="1">
      <c r="A751" s="1577"/>
      <c r="B751" s="1577"/>
      <c r="C751" s="1577"/>
      <c r="D751" s="1577"/>
      <c r="G751" s="1578"/>
      <c r="H751" s="1579"/>
    </row>
    <row r="752" spans="1:8" s="1576" customFormat="1">
      <c r="A752" s="1577"/>
      <c r="B752" s="1577"/>
      <c r="C752" s="1577"/>
      <c r="D752" s="1577"/>
      <c r="G752" s="1578"/>
      <c r="H752" s="1579"/>
    </row>
    <row r="753" spans="1:8" s="1576" customFormat="1">
      <c r="A753" s="1577"/>
      <c r="B753" s="1577"/>
      <c r="C753" s="1577"/>
      <c r="D753" s="1577"/>
      <c r="G753" s="1578"/>
      <c r="H753" s="1579"/>
    </row>
    <row r="754" spans="1:8" s="1576" customFormat="1">
      <c r="A754" s="1577"/>
      <c r="B754" s="1577"/>
      <c r="C754" s="1577"/>
      <c r="D754" s="1577"/>
      <c r="G754" s="1578"/>
      <c r="H754" s="1579"/>
    </row>
    <row r="755" spans="1:8" s="1576" customFormat="1">
      <c r="A755" s="1577"/>
      <c r="B755" s="1577"/>
      <c r="C755" s="1577"/>
      <c r="D755" s="1577"/>
      <c r="G755" s="1578"/>
      <c r="H755" s="1579"/>
    </row>
    <row r="756" spans="1:8" s="1576" customFormat="1">
      <c r="A756" s="1577"/>
      <c r="B756" s="1577"/>
      <c r="C756" s="1577"/>
      <c r="D756" s="1577"/>
      <c r="G756" s="1578"/>
      <c r="H756" s="1579"/>
    </row>
    <row r="757" spans="1:8" s="1576" customFormat="1">
      <c r="A757" s="1577"/>
      <c r="B757" s="1577"/>
      <c r="C757" s="1577"/>
      <c r="D757" s="1577"/>
      <c r="G757" s="1578"/>
      <c r="H757" s="1579"/>
    </row>
    <row r="758" spans="1:8" s="1576" customFormat="1">
      <c r="A758" s="1577"/>
      <c r="B758" s="1577"/>
      <c r="C758" s="1577"/>
      <c r="D758" s="1577"/>
      <c r="G758" s="1578"/>
      <c r="H758" s="1579"/>
    </row>
    <row r="759" spans="1:8" s="1576" customFormat="1">
      <c r="A759" s="1577"/>
      <c r="B759" s="1577"/>
      <c r="C759" s="1577"/>
      <c r="D759" s="1577"/>
      <c r="G759" s="1578"/>
      <c r="H759" s="1579"/>
    </row>
    <row r="760" spans="1:8" s="1576" customFormat="1">
      <c r="A760" s="1577"/>
      <c r="B760" s="1577"/>
      <c r="C760" s="1577"/>
      <c r="D760" s="1577"/>
      <c r="G760" s="1578"/>
      <c r="H760" s="1579"/>
    </row>
    <row r="761" spans="1:8" s="1576" customFormat="1">
      <c r="A761" s="1577"/>
      <c r="B761" s="1577"/>
      <c r="C761" s="1577"/>
      <c r="D761" s="1577"/>
      <c r="G761" s="1578"/>
      <c r="H761" s="1579"/>
    </row>
    <row r="762" spans="1:8" s="1576" customFormat="1">
      <c r="A762" s="1577"/>
      <c r="B762" s="1577"/>
      <c r="C762" s="1577"/>
      <c r="D762" s="1577"/>
      <c r="G762" s="1578"/>
      <c r="H762" s="1579"/>
    </row>
    <row r="763" spans="1:8" s="1576" customFormat="1">
      <c r="A763" s="1577"/>
      <c r="B763" s="1577"/>
      <c r="C763" s="1577"/>
      <c r="D763" s="1577"/>
      <c r="G763" s="1578"/>
      <c r="H763" s="1579"/>
    </row>
    <row r="764" spans="1:8" s="1576" customFormat="1">
      <c r="A764" s="1577"/>
      <c r="B764" s="1577"/>
      <c r="C764" s="1577"/>
      <c r="D764" s="1577"/>
      <c r="G764" s="1578"/>
      <c r="H764" s="1579"/>
    </row>
    <row r="765" spans="1:8" s="1576" customFormat="1">
      <c r="A765" s="1577"/>
      <c r="B765" s="1577"/>
      <c r="C765" s="1577"/>
      <c r="D765" s="1577"/>
      <c r="G765" s="1578"/>
      <c r="H765" s="1579"/>
    </row>
    <row r="766" spans="1:8" s="1576" customFormat="1">
      <c r="A766" s="1577"/>
      <c r="B766" s="1577"/>
      <c r="C766" s="1577"/>
      <c r="D766" s="1577"/>
      <c r="G766" s="1578"/>
      <c r="H766" s="1579"/>
    </row>
    <row r="767" spans="1:8" s="1576" customFormat="1">
      <c r="A767" s="1577"/>
      <c r="B767" s="1577"/>
      <c r="C767" s="1577"/>
      <c r="D767" s="1577"/>
      <c r="G767" s="1578"/>
      <c r="H767" s="1579"/>
    </row>
    <row r="768" spans="1:8" s="1576" customFormat="1">
      <c r="A768" s="1577"/>
      <c r="B768" s="1577"/>
      <c r="C768" s="1577"/>
      <c r="D768" s="1577"/>
      <c r="G768" s="1578"/>
      <c r="H768" s="1579"/>
    </row>
    <row r="769" spans="1:8" s="1576" customFormat="1">
      <c r="A769" s="1577"/>
      <c r="B769" s="1577"/>
      <c r="C769" s="1577"/>
      <c r="D769" s="1577"/>
      <c r="G769" s="1578"/>
      <c r="H769" s="1579"/>
    </row>
    <row r="770" spans="1:8" s="1576" customFormat="1">
      <c r="A770" s="1577"/>
      <c r="B770" s="1577"/>
      <c r="C770" s="1577"/>
      <c r="D770" s="1577"/>
      <c r="G770" s="1578"/>
      <c r="H770" s="1579"/>
    </row>
    <row r="771" spans="1:8" s="1576" customFormat="1">
      <c r="A771" s="1577"/>
      <c r="B771" s="1577"/>
      <c r="C771" s="1577"/>
      <c r="D771" s="1577"/>
      <c r="G771" s="1578"/>
      <c r="H771" s="1579"/>
    </row>
    <row r="772" spans="1:8" s="1576" customFormat="1">
      <c r="A772" s="1577"/>
      <c r="B772" s="1577"/>
      <c r="C772" s="1577"/>
      <c r="D772" s="1577"/>
      <c r="G772" s="1578"/>
      <c r="H772" s="1579"/>
    </row>
    <row r="773" spans="1:8" s="1576" customFormat="1">
      <c r="A773" s="1577"/>
      <c r="B773" s="1577"/>
      <c r="C773" s="1577"/>
      <c r="D773" s="1577"/>
      <c r="G773" s="1578"/>
      <c r="H773" s="1579"/>
    </row>
    <row r="774" spans="1:8" s="1576" customFormat="1">
      <c r="A774" s="1577"/>
      <c r="B774" s="1577"/>
      <c r="C774" s="1577"/>
      <c r="D774" s="1577"/>
      <c r="G774" s="1578"/>
      <c r="H774" s="1579"/>
    </row>
    <row r="775" spans="1:8" s="1576" customFormat="1">
      <c r="A775" s="1577"/>
      <c r="B775" s="1577"/>
      <c r="C775" s="1577"/>
      <c r="D775" s="1577"/>
      <c r="G775" s="1578"/>
      <c r="H775" s="1579"/>
    </row>
    <row r="776" spans="1:8" s="1576" customFormat="1">
      <c r="A776" s="1577"/>
      <c r="B776" s="1577"/>
      <c r="C776" s="1577"/>
      <c r="D776" s="1577"/>
      <c r="G776" s="1578"/>
      <c r="H776" s="1579"/>
    </row>
    <row r="777" spans="1:8" s="1576" customFormat="1">
      <c r="A777" s="1577"/>
      <c r="B777" s="1577"/>
      <c r="C777" s="1577"/>
      <c r="D777" s="1577"/>
      <c r="G777" s="1578"/>
      <c r="H777" s="1579"/>
    </row>
    <row r="778" spans="1:8" s="1576" customFormat="1">
      <c r="A778" s="1577"/>
      <c r="B778" s="1577"/>
      <c r="C778" s="1577"/>
      <c r="D778" s="1577"/>
      <c r="G778" s="1578"/>
      <c r="H778" s="1579"/>
    </row>
    <row r="779" spans="1:8" s="1576" customFormat="1">
      <c r="A779" s="1577"/>
      <c r="B779" s="1577"/>
      <c r="C779" s="1577"/>
      <c r="D779" s="1577"/>
      <c r="G779" s="1578"/>
      <c r="H779" s="1579"/>
    </row>
    <row r="780" spans="1:8" s="1576" customFormat="1">
      <c r="A780" s="1577"/>
      <c r="B780" s="1577"/>
      <c r="C780" s="1577"/>
      <c r="D780" s="1577"/>
      <c r="G780" s="1578"/>
      <c r="H780" s="1579"/>
    </row>
    <row r="781" spans="1:8" s="1576" customFormat="1">
      <c r="A781" s="1577"/>
      <c r="B781" s="1577"/>
      <c r="C781" s="1577"/>
      <c r="D781" s="1577"/>
      <c r="G781" s="1578"/>
      <c r="H781" s="1579"/>
    </row>
    <row r="782" spans="1:8" s="1576" customFormat="1">
      <c r="A782" s="1577"/>
      <c r="B782" s="1577"/>
      <c r="C782" s="1577"/>
      <c r="D782" s="1577"/>
      <c r="G782" s="1578"/>
      <c r="H782" s="1579"/>
    </row>
    <row r="783" spans="1:8" s="1576" customFormat="1">
      <c r="A783" s="1577"/>
      <c r="B783" s="1577"/>
      <c r="C783" s="1577"/>
      <c r="D783" s="1577"/>
      <c r="G783" s="1578"/>
      <c r="H783" s="1579"/>
    </row>
    <row r="784" spans="1:8" s="1576" customFormat="1">
      <c r="A784" s="1577"/>
      <c r="B784" s="1577"/>
      <c r="C784" s="1577"/>
      <c r="D784" s="1577"/>
      <c r="G784" s="1578"/>
      <c r="H784" s="1579"/>
    </row>
    <row r="785" spans="1:8" s="1576" customFormat="1">
      <c r="A785" s="1577"/>
      <c r="B785" s="1577"/>
      <c r="C785" s="1577"/>
      <c r="D785" s="1577"/>
      <c r="G785" s="1578"/>
      <c r="H785" s="1579"/>
    </row>
    <row r="786" spans="1:8" s="1576" customFormat="1">
      <c r="A786" s="1577"/>
      <c r="B786" s="1577"/>
      <c r="C786" s="1577"/>
      <c r="D786" s="1577"/>
      <c r="G786" s="1578"/>
      <c r="H786" s="1579"/>
    </row>
    <row r="787" spans="1:8" s="1576" customFormat="1">
      <c r="A787" s="1577"/>
      <c r="B787" s="1577"/>
      <c r="C787" s="1577"/>
      <c r="D787" s="1577"/>
      <c r="G787" s="1578"/>
      <c r="H787" s="1579"/>
    </row>
    <row r="788" spans="1:8" s="1576" customFormat="1">
      <c r="A788" s="1577"/>
      <c r="B788" s="1577"/>
      <c r="C788" s="1577"/>
      <c r="D788" s="1577"/>
      <c r="G788" s="1578"/>
      <c r="H788" s="1579"/>
    </row>
    <row r="789" spans="1:8" s="1576" customFormat="1">
      <c r="A789" s="1577"/>
      <c r="B789" s="1577"/>
      <c r="C789" s="1577"/>
      <c r="D789" s="1577"/>
      <c r="G789" s="1578"/>
      <c r="H789" s="1579"/>
    </row>
    <row r="790" spans="1:8" s="1576" customFormat="1">
      <c r="A790" s="1577"/>
      <c r="B790" s="1577"/>
      <c r="C790" s="1577"/>
      <c r="D790" s="1577"/>
      <c r="G790" s="1578"/>
      <c r="H790" s="1579"/>
    </row>
    <row r="791" spans="1:8" s="1576" customFormat="1">
      <c r="A791" s="1577"/>
      <c r="B791" s="1577"/>
      <c r="C791" s="1577"/>
      <c r="D791" s="1577"/>
      <c r="G791" s="1578"/>
      <c r="H791" s="1579"/>
    </row>
    <row r="792" spans="1:8" s="1576" customFormat="1">
      <c r="A792" s="1577"/>
      <c r="B792" s="1577"/>
      <c r="C792" s="1577"/>
      <c r="D792" s="1577"/>
      <c r="G792" s="1578"/>
      <c r="H792" s="1579"/>
    </row>
    <row r="793" spans="1:8" s="1576" customFormat="1">
      <c r="A793" s="1577"/>
      <c r="B793" s="1577"/>
      <c r="C793" s="1577"/>
      <c r="D793" s="1577"/>
      <c r="G793" s="1578"/>
      <c r="H793" s="1579"/>
    </row>
    <row r="794" spans="1:8" s="1576" customFormat="1">
      <c r="A794" s="1577"/>
      <c r="B794" s="1577"/>
      <c r="C794" s="1577"/>
      <c r="D794" s="1577"/>
      <c r="G794" s="1578"/>
      <c r="H794" s="1579"/>
    </row>
    <row r="795" spans="1:8" s="1576" customFormat="1">
      <c r="A795" s="1577"/>
      <c r="B795" s="1577"/>
      <c r="C795" s="1577"/>
      <c r="D795" s="1577"/>
      <c r="G795" s="1578"/>
      <c r="H795" s="1579"/>
    </row>
    <row r="796" spans="1:8" s="1576" customFormat="1">
      <c r="A796" s="1577"/>
      <c r="B796" s="1577"/>
      <c r="C796" s="1577"/>
      <c r="D796" s="1577"/>
      <c r="G796" s="1578"/>
      <c r="H796" s="1579"/>
    </row>
    <row r="797" spans="1:8" s="1576" customFormat="1">
      <c r="A797" s="1577"/>
      <c r="B797" s="1577"/>
      <c r="C797" s="1577"/>
      <c r="D797" s="1577"/>
      <c r="G797" s="1578"/>
      <c r="H797" s="1579"/>
    </row>
    <row r="798" spans="1:8" s="1576" customFormat="1">
      <c r="A798" s="1577"/>
      <c r="B798" s="1577"/>
      <c r="C798" s="1577"/>
      <c r="D798" s="1577"/>
      <c r="G798" s="1578"/>
      <c r="H798" s="1579"/>
    </row>
    <row r="799" spans="1:8" s="1576" customFormat="1">
      <c r="A799" s="1577"/>
      <c r="B799" s="1577"/>
      <c r="C799" s="1577"/>
      <c r="D799" s="1577"/>
      <c r="G799" s="1578"/>
      <c r="H799" s="1579"/>
    </row>
    <row r="800" spans="1:8" s="1576" customFormat="1">
      <c r="A800" s="1577"/>
      <c r="B800" s="1577"/>
      <c r="C800" s="1577"/>
      <c r="D800" s="1577"/>
      <c r="G800" s="1578"/>
      <c r="H800" s="1579"/>
    </row>
    <row r="801" spans="1:8" s="1576" customFormat="1">
      <c r="A801" s="1577"/>
      <c r="B801" s="1577"/>
      <c r="C801" s="1577"/>
      <c r="D801" s="1577"/>
      <c r="G801" s="1578"/>
      <c r="H801" s="1579"/>
    </row>
    <row r="802" spans="1:8" s="1576" customFormat="1">
      <c r="A802" s="1577"/>
      <c r="B802" s="1577"/>
      <c r="C802" s="1577"/>
      <c r="D802" s="1577"/>
      <c r="G802" s="1578"/>
      <c r="H802" s="1579"/>
    </row>
    <row r="803" spans="1:8" s="1576" customFormat="1">
      <c r="A803" s="1577"/>
      <c r="B803" s="1577"/>
      <c r="C803" s="1577"/>
      <c r="D803" s="1577"/>
      <c r="G803" s="1578"/>
      <c r="H803" s="1579"/>
    </row>
    <row r="804" spans="1:8" s="1576" customFormat="1">
      <c r="A804" s="1577"/>
      <c r="B804" s="1577"/>
      <c r="C804" s="1577"/>
      <c r="D804" s="1577"/>
      <c r="G804" s="1578"/>
      <c r="H804" s="1579"/>
    </row>
    <row r="805" spans="1:8" s="1576" customFormat="1">
      <c r="A805" s="1577"/>
      <c r="B805" s="1577"/>
      <c r="C805" s="1577"/>
      <c r="D805" s="1577"/>
      <c r="G805" s="1578"/>
      <c r="H805" s="1579"/>
    </row>
    <row r="806" spans="1:8" s="1576" customFormat="1">
      <c r="A806" s="1577"/>
      <c r="B806" s="1577"/>
      <c r="C806" s="1577"/>
      <c r="D806" s="1577"/>
      <c r="G806" s="1578"/>
      <c r="H806" s="1579"/>
    </row>
    <row r="807" spans="1:8" s="1576" customFormat="1">
      <c r="A807" s="1577"/>
      <c r="B807" s="1577"/>
      <c r="C807" s="1577"/>
      <c r="D807" s="1577"/>
      <c r="G807" s="1578"/>
      <c r="H807" s="1579"/>
    </row>
    <row r="808" spans="1:8" s="1576" customFormat="1">
      <c r="A808" s="1577"/>
      <c r="B808" s="1577"/>
      <c r="C808" s="1577"/>
      <c r="D808" s="1577"/>
      <c r="G808" s="1578"/>
      <c r="H808" s="1579"/>
    </row>
    <row r="809" spans="1:8" s="1576" customFormat="1">
      <c r="A809" s="1577"/>
      <c r="B809" s="1577"/>
      <c r="C809" s="1577"/>
      <c r="D809" s="1577"/>
      <c r="G809" s="1578"/>
      <c r="H809" s="1579"/>
    </row>
    <row r="810" spans="1:8" s="1576" customFormat="1">
      <c r="A810" s="1577"/>
      <c r="B810" s="1577"/>
      <c r="C810" s="1577"/>
      <c r="D810" s="1577"/>
      <c r="G810" s="1578"/>
      <c r="H810" s="1579"/>
    </row>
    <row r="811" spans="1:8" s="1576" customFormat="1">
      <c r="A811" s="1577"/>
      <c r="B811" s="1577"/>
      <c r="C811" s="1577"/>
      <c r="D811" s="1577"/>
      <c r="G811" s="1578"/>
      <c r="H811" s="1579"/>
    </row>
    <row r="812" spans="1:8" s="1576" customFormat="1">
      <c r="A812" s="1577"/>
      <c r="B812" s="1577"/>
      <c r="C812" s="1577"/>
      <c r="D812" s="1577"/>
      <c r="G812" s="1578"/>
      <c r="H812" s="1579"/>
    </row>
    <row r="813" spans="1:8" s="1576" customFormat="1">
      <c r="A813" s="1577"/>
      <c r="B813" s="1577"/>
      <c r="C813" s="1577"/>
      <c r="D813" s="1577"/>
      <c r="G813" s="1578"/>
      <c r="H813" s="1579"/>
    </row>
    <row r="814" spans="1:8" s="1576" customFormat="1">
      <c r="A814" s="1577"/>
      <c r="B814" s="1577"/>
      <c r="C814" s="1577"/>
      <c r="D814" s="1577"/>
      <c r="G814" s="1578"/>
      <c r="H814" s="1579"/>
    </row>
    <row r="815" spans="1:8" s="1576" customFormat="1">
      <c r="A815" s="1577"/>
      <c r="B815" s="1577"/>
      <c r="C815" s="1577"/>
      <c r="D815" s="1577"/>
      <c r="G815" s="1578"/>
      <c r="H815" s="1579"/>
    </row>
    <row r="816" spans="1:8" s="1576" customFormat="1">
      <c r="A816" s="1577"/>
      <c r="B816" s="1577"/>
      <c r="C816" s="1577"/>
      <c r="D816" s="1577"/>
      <c r="G816" s="1578"/>
      <c r="H816" s="1579"/>
    </row>
    <row r="817" spans="1:8" s="1576" customFormat="1">
      <c r="A817" s="1577"/>
      <c r="B817" s="1577"/>
      <c r="C817" s="1577"/>
      <c r="D817" s="1577"/>
      <c r="G817" s="1578"/>
      <c r="H817" s="1579"/>
    </row>
    <row r="818" spans="1:8" s="1576" customFormat="1">
      <c r="A818" s="1577"/>
      <c r="B818" s="1577"/>
      <c r="C818" s="1577"/>
      <c r="D818" s="1577"/>
      <c r="G818" s="1578"/>
      <c r="H818" s="1579"/>
    </row>
    <row r="819" spans="1:8" s="1576" customFormat="1">
      <c r="A819" s="1577"/>
      <c r="B819" s="1577"/>
      <c r="C819" s="1577"/>
      <c r="D819" s="1577"/>
      <c r="G819" s="1578"/>
      <c r="H819" s="1579"/>
    </row>
    <row r="820" spans="1:8" s="1576" customFormat="1">
      <c r="A820" s="1577"/>
      <c r="B820" s="1577"/>
      <c r="C820" s="1577"/>
      <c r="D820" s="1577"/>
      <c r="G820" s="1578"/>
      <c r="H820" s="1579"/>
    </row>
    <row r="821" spans="1:8" s="1576" customFormat="1">
      <c r="A821" s="1577"/>
      <c r="B821" s="1577"/>
      <c r="C821" s="1577"/>
      <c r="D821" s="1577"/>
      <c r="G821" s="1578"/>
      <c r="H821" s="1579"/>
    </row>
    <row r="822" spans="1:8" s="1576" customFormat="1">
      <c r="A822" s="1577"/>
      <c r="B822" s="1577"/>
      <c r="C822" s="1577"/>
      <c r="D822" s="1577"/>
      <c r="G822" s="1578"/>
      <c r="H822" s="1579"/>
    </row>
    <row r="823" spans="1:8" s="1576" customFormat="1">
      <c r="A823" s="1577"/>
      <c r="B823" s="1577"/>
      <c r="C823" s="1577"/>
      <c r="D823" s="1577"/>
      <c r="G823" s="1578"/>
      <c r="H823" s="1579"/>
    </row>
    <row r="824" spans="1:8" s="1576" customFormat="1">
      <c r="A824" s="1577"/>
      <c r="B824" s="1577"/>
      <c r="C824" s="1577"/>
      <c r="D824" s="1577"/>
      <c r="G824" s="1578"/>
      <c r="H824" s="1579"/>
    </row>
    <row r="825" spans="1:8" s="1576" customFormat="1">
      <c r="A825" s="1577"/>
      <c r="B825" s="1577"/>
      <c r="C825" s="1577"/>
      <c r="D825" s="1577"/>
      <c r="G825" s="1578"/>
      <c r="H825" s="1579"/>
    </row>
    <row r="826" spans="1:8" s="1576" customFormat="1">
      <c r="A826" s="1577"/>
      <c r="B826" s="1577"/>
      <c r="C826" s="1577"/>
      <c r="D826" s="1577"/>
      <c r="G826" s="1578"/>
      <c r="H826" s="1579"/>
    </row>
    <row r="827" spans="1:8" s="1576" customFormat="1">
      <c r="A827" s="1577"/>
      <c r="B827" s="1577"/>
      <c r="C827" s="1577"/>
      <c r="D827" s="1577"/>
      <c r="G827" s="1578"/>
      <c r="H827" s="1579"/>
    </row>
    <row r="828" spans="1:8" s="1576" customFormat="1">
      <c r="A828" s="1577"/>
      <c r="B828" s="1577"/>
      <c r="C828" s="1577"/>
      <c r="D828" s="1577"/>
      <c r="G828" s="1578"/>
      <c r="H828" s="1579"/>
    </row>
    <row r="829" spans="1:8" s="1576" customFormat="1">
      <c r="A829" s="1577"/>
      <c r="B829" s="1577"/>
      <c r="C829" s="1577"/>
      <c r="D829" s="1577"/>
      <c r="G829" s="1578"/>
      <c r="H829" s="1579"/>
    </row>
    <row r="830" spans="1:8" s="1576" customFormat="1">
      <c r="A830" s="1577"/>
      <c r="B830" s="1577"/>
      <c r="C830" s="1577"/>
      <c r="D830" s="1577"/>
      <c r="G830" s="1578"/>
      <c r="H830" s="1579"/>
    </row>
    <row r="831" spans="1:8" s="1576" customFormat="1">
      <c r="A831" s="1577"/>
      <c r="B831" s="1577"/>
      <c r="C831" s="1577"/>
      <c r="D831" s="1577"/>
      <c r="G831" s="1578"/>
      <c r="H831" s="1579"/>
    </row>
    <row r="832" spans="1:8" s="1576" customFormat="1">
      <c r="A832" s="1577"/>
      <c r="B832" s="1577"/>
      <c r="C832" s="1577"/>
      <c r="D832" s="1577"/>
      <c r="G832" s="1578"/>
      <c r="H832" s="1579"/>
    </row>
    <row r="833" spans="1:8" s="1576" customFormat="1">
      <c r="A833" s="1577"/>
      <c r="B833" s="1577"/>
      <c r="C833" s="1577"/>
      <c r="D833" s="1577"/>
      <c r="G833" s="1578"/>
      <c r="H833" s="1579"/>
    </row>
    <row r="834" spans="1:8" s="1576" customFormat="1">
      <c r="A834" s="1577"/>
      <c r="B834" s="1577"/>
      <c r="C834" s="1577"/>
      <c r="D834" s="1577"/>
      <c r="G834" s="1578"/>
      <c r="H834" s="1579"/>
    </row>
    <row r="835" spans="1:8" s="1576" customFormat="1">
      <c r="A835" s="1577"/>
      <c r="B835" s="1577"/>
      <c r="C835" s="1577"/>
      <c r="D835" s="1577"/>
      <c r="G835" s="1578"/>
      <c r="H835" s="1579"/>
    </row>
    <row r="836" spans="1:8" s="1576" customFormat="1">
      <c r="A836" s="1577"/>
      <c r="B836" s="1577"/>
      <c r="C836" s="1577"/>
      <c r="D836" s="1577"/>
      <c r="G836" s="1578"/>
      <c r="H836" s="1579"/>
    </row>
    <row r="837" spans="1:8" s="1576" customFormat="1">
      <c r="A837" s="1577"/>
      <c r="B837" s="1577"/>
      <c r="C837" s="1577"/>
      <c r="D837" s="1577"/>
      <c r="G837" s="1578"/>
      <c r="H837" s="1579"/>
    </row>
    <row r="838" spans="1:8" s="1576" customFormat="1">
      <c r="A838" s="1577"/>
      <c r="B838" s="1577"/>
      <c r="C838" s="1577"/>
      <c r="D838" s="1577"/>
      <c r="G838" s="1578"/>
      <c r="H838" s="1579"/>
    </row>
    <row r="839" spans="1:8" s="1576" customFormat="1">
      <c r="A839" s="1577"/>
      <c r="B839" s="1577"/>
      <c r="C839" s="1577"/>
      <c r="D839" s="1577"/>
      <c r="G839" s="1578"/>
      <c r="H839" s="1579"/>
    </row>
    <row r="840" spans="1:8" s="1576" customFormat="1">
      <c r="A840" s="1577"/>
      <c r="B840" s="1577"/>
      <c r="C840" s="1577"/>
      <c r="D840" s="1577"/>
      <c r="G840" s="1578"/>
      <c r="H840" s="1579"/>
    </row>
    <row r="841" spans="1:8" s="1576" customFormat="1">
      <c r="A841" s="1577"/>
      <c r="B841" s="1577"/>
      <c r="C841" s="1577"/>
      <c r="D841" s="1577"/>
      <c r="G841" s="1578"/>
      <c r="H841" s="1579"/>
    </row>
    <row r="842" spans="1:8" s="1576" customFormat="1">
      <c r="A842" s="1577"/>
      <c r="B842" s="1577"/>
      <c r="C842" s="1577"/>
      <c r="D842" s="1577"/>
      <c r="G842" s="1578"/>
      <c r="H842" s="1579"/>
    </row>
    <row r="843" spans="1:8" s="1576" customFormat="1">
      <c r="A843" s="1577"/>
      <c r="B843" s="1577"/>
      <c r="C843" s="1577"/>
      <c r="D843" s="1577"/>
      <c r="G843" s="1578"/>
      <c r="H843" s="1579"/>
    </row>
    <row r="844" spans="1:8" s="1576" customFormat="1">
      <c r="A844" s="1577"/>
      <c r="B844" s="1577"/>
      <c r="C844" s="1577"/>
      <c r="D844" s="1577"/>
      <c r="G844" s="1578"/>
      <c r="H844" s="1579"/>
    </row>
    <row r="845" spans="1:8" s="1576" customFormat="1">
      <c r="A845" s="1577"/>
      <c r="B845" s="1577"/>
      <c r="C845" s="1577"/>
      <c r="D845" s="1577"/>
      <c r="G845" s="1578"/>
      <c r="H845" s="1579"/>
    </row>
    <row r="846" spans="1:8" s="1576" customFormat="1">
      <c r="A846" s="1577"/>
      <c r="B846" s="1577"/>
      <c r="C846" s="1577"/>
      <c r="D846" s="1577"/>
      <c r="G846" s="1578"/>
      <c r="H846" s="1579"/>
    </row>
    <row r="847" spans="1:8" s="1576" customFormat="1">
      <c r="A847" s="1577"/>
      <c r="B847" s="1577"/>
      <c r="C847" s="1577"/>
      <c r="D847" s="1577"/>
      <c r="G847" s="1578"/>
      <c r="H847" s="1579"/>
    </row>
    <row r="848" spans="1:8" s="1576" customFormat="1">
      <c r="A848" s="1577"/>
      <c r="B848" s="1577"/>
      <c r="C848" s="1577"/>
      <c r="D848" s="1577"/>
      <c r="G848" s="1578"/>
      <c r="H848" s="1579"/>
    </row>
    <row r="849" spans="1:8" s="1576" customFormat="1">
      <c r="A849" s="1577"/>
      <c r="B849" s="1577"/>
      <c r="C849" s="1577"/>
      <c r="D849" s="1577"/>
      <c r="G849" s="1578"/>
      <c r="H849" s="1579"/>
    </row>
    <row r="850" spans="1:8" s="1576" customFormat="1">
      <c r="A850" s="1577"/>
      <c r="B850" s="1577"/>
      <c r="C850" s="1577"/>
      <c r="D850" s="1577"/>
      <c r="G850" s="1578"/>
      <c r="H850" s="1579"/>
    </row>
    <row r="851" spans="1:8" s="1576" customFormat="1">
      <c r="A851" s="1577"/>
      <c r="B851" s="1577"/>
      <c r="C851" s="1577"/>
      <c r="D851" s="1577"/>
      <c r="G851" s="1578"/>
      <c r="H851" s="1579"/>
    </row>
    <row r="852" spans="1:8" s="1576" customFormat="1">
      <c r="A852" s="1577"/>
      <c r="B852" s="1577"/>
      <c r="C852" s="1577"/>
      <c r="D852" s="1577"/>
      <c r="G852" s="1578"/>
      <c r="H852" s="1579"/>
    </row>
    <row r="853" spans="1:8" s="1576" customFormat="1">
      <c r="A853" s="1577"/>
      <c r="B853" s="1577"/>
      <c r="C853" s="1577"/>
      <c r="D853" s="1577"/>
      <c r="G853" s="1578"/>
      <c r="H853" s="1579"/>
    </row>
    <row r="854" spans="1:8" s="1576" customFormat="1">
      <c r="A854" s="1577"/>
      <c r="B854" s="1577"/>
      <c r="C854" s="1577"/>
      <c r="D854" s="1577"/>
      <c r="G854" s="1578"/>
      <c r="H854" s="1579"/>
    </row>
    <row r="855" spans="1:8" s="1576" customFormat="1">
      <c r="A855" s="1577"/>
      <c r="B855" s="1577"/>
      <c r="C855" s="1577"/>
      <c r="D855" s="1577"/>
      <c r="G855" s="1578"/>
      <c r="H855" s="1579"/>
    </row>
    <row r="856" spans="1:8" s="1576" customFormat="1">
      <c r="A856" s="1577"/>
      <c r="B856" s="1577"/>
      <c r="C856" s="1577"/>
      <c r="D856" s="1577"/>
      <c r="G856" s="1578"/>
      <c r="H856" s="1579"/>
    </row>
    <row r="857" spans="1:8" s="1576" customFormat="1">
      <c r="A857" s="1577"/>
      <c r="B857" s="1577"/>
      <c r="C857" s="1577"/>
      <c r="D857" s="1577"/>
      <c r="G857" s="1578"/>
      <c r="H857" s="1579"/>
    </row>
    <row r="858" spans="1:8" s="1576" customFormat="1">
      <c r="A858" s="1577"/>
      <c r="B858" s="1577"/>
      <c r="C858" s="1577"/>
      <c r="D858" s="1577"/>
      <c r="G858" s="1578"/>
      <c r="H858" s="1579"/>
    </row>
    <row r="859" spans="1:8" s="1576" customFormat="1">
      <c r="A859" s="1577"/>
      <c r="B859" s="1577"/>
      <c r="C859" s="1577"/>
      <c r="D859" s="1577"/>
      <c r="G859" s="1578"/>
      <c r="H859" s="1579"/>
    </row>
    <row r="860" spans="1:8" s="1576" customFormat="1">
      <c r="A860" s="1577"/>
      <c r="B860" s="1577"/>
      <c r="C860" s="1577"/>
      <c r="D860" s="1577"/>
      <c r="G860" s="1578"/>
      <c r="H860" s="1579"/>
    </row>
    <row r="861" spans="1:8" s="1576" customFormat="1">
      <c r="A861" s="1577"/>
      <c r="B861" s="1577"/>
      <c r="C861" s="1577"/>
      <c r="D861" s="1577"/>
      <c r="G861" s="1578"/>
      <c r="H861" s="1579"/>
    </row>
    <row r="862" spans="1:8" s="1576" customFormat="1">
      <c r="A862" s="1577"/>
      <c r="B862" s="1577"/>
      <c r="C862" s="1577"/>
      <c r="D862" s="1577"/>
      <c r="G862" s="1578"/>
      <c r="H862" s="1579"/>
    </row>
    <row r="863" spans="1:8" s="1576" customFormat="1">
      <c r="A863" s="1577"/>
      <c r="B863" s="1577"/>
      <c r="C863" s="1577"/>
      <c r="D863" s="1577"/>
      <c r="G863" s="1578"/>
      <c r="H863" s="1579"/>
    </row>
    <row r="864" spans="1:8" s="1576" customFormat="1">
      <c r="A864" s="1577"/>
      <c r="B864" s="1577"/>
      <c r="C864" s="1577"/>
      <c r="D864" s="1577"/>
      <c r="G864" s="1578"/>
      <c r="H864" s="1579"/>
    </row>
    <row r="865" spans="1:8" s="1576" customFormat="1">
      <c r="A865" s="1577"/>
      <c r="B865" s="1577"/>
      <c r="C865" s="1577"/>
      <c r="D865" s="1577"/>
      <c r="G865" s="1578"/>
      <c r="H865" s="1579"/>
    </row>
    <row r="866" spans="1:8" s="1576" customFormat="1">
      <c r="A866" s="1577"/>
      <c r="B866" s="1577"/>
      <c r="C866" s="1577"/>
      <c r="D866" s="1577"/>
      <c r="G866" s="1578"/>
      <c r="H866" s="1579"/>
    </row>
    <row r="867" spans="1:8" s="1576" customFormat="1">
      <c r="A867" s="1577"/>
      <c r="B867" s="1577"/>
      <c r="C867" s="1577"/>
      <c r="D867" s="1577"/>
      <c r="G867" s="1578"/>
      <c r="H867" s="1579"/>
    </row>
    <row r="868" spans="1:8" s="1576" customFormat="1">
      <c r="A868" s="1577"/>
      <c r="B868" s="1577"/>
      <c r="C868" s="1577"/>
      <c r="D868" s="1577"/>
      <c r="G868" s="1578"/>
      <c r="H868" s="1579"/>
    </row>
    <row r="869" spans="1:8" s="1576" customFormat="1">
      <c r="A869" s="1577"/>
      <c r="B869" s="1577"/>
      <c r="C869" s="1577"/>
      <c r="D869" s="1577"/>
      <c r="G869" s="1578"/>
      <c r="H869" s="1579"/>
    </row>
    <row r="870" spans="1:8" s="1576" customFormat="1">
      <c r="A870" s="1577"/>
      <c r="B870" s="1577"/>
      <c r="C870" s="1577"/>
      <c r="D870" s="1577"/>
      <c r="G870" s="1578"/>
      <c r="H870" s="1579"/>
    </row>
    <row r="871" spans="1:8" s="1576" customFormat="1">
      <c r="A871" s="1577"/>
      <c r="B871" s="1577"/>
      <c r="C871" s="1577"/>
      <c r="D871" s="1577"/>
      <c r="G871" s="1578"/>
      <c r="H871" s="1579"/>
    </row>
    <row r="872" spans="1:8" s="1576" customFormat="1">
      <c r="A872" s="1577"/>
      <c r="B872" s="1577"/>
      <c r="C872" s="1577"/>
      <c r="D872" s="1577"/>
      <c r="G872" s="1578"/>
      <c r="H872" s="1579"/>
    </row>
    <row r="873" spans="1:8" s="1576" customFormat="1">
      <c r="A873" s="1577"/>
      <c r="B873" s="1577"/>
      <c r="C873" s="1577"/>
      <c r="D873" s="1577"/>
      <c r="G873" s="1578"/>
      <c r="H873" s="1579"/>
    </row>
    <row r="874" spans="1:8" s="1576" customFormat="1">
      <c r="A874" s="1577"/>
      <c r="B874" s="1577"/>
      <c r="C874" s="1577"/>
      <c r="D874" s="1577"/>
      <c r="G874" s="1578"/>
      <c r="H874" s="1579"/>
    </row>
    <row r="875" spans="1:8" s="1576" customFormat="1">
      <c r="A875" s="1577"/>
      <c r="B875" s="1577"/>
      <c r="C875" s="1577"/>
      <c r="D875" s="1577"/>
      <c r="G875" s="1578"/>
      <c r="H875" s="1579"/>
    </row>
    <row r="876" spans="1:8" s="1576" customFormat="1">
      <c r="A876" s="1577"/>
      <c r="B876" s="1577"/>
      <c r="C876" s="1577"/>
      <c r="D876" s="1577"/>
      <c r="G876" s="1578"/>
      <c r="H876" s="1579"/>
    </row>
    <row r="877" spans="1:8" s="1576" customFormat="1">
      <c r="A877" s="1577"/>
      <c r="B877" s="1577"/>
      <c r="C877" s="1577"/>
      <c r="D877" s="1577"/>
      <c r="G877" s="1578"/>
      <c r="H877" s="1579"/>
    </row>
    <row r="878" spans="1:8" s="1576" customFormat="1">
      <c r="A878" s="1577"/>
      <c r="B878" s="1577"/>
      <c r="C878" s="1577"/>
      <c r="D878" s="1577"/>
      <c r="G878" s="1578"/>
      <c r="H878" s="1579"/>
    </row>
    <row r="879" spans="1:8" s="1576" customFormat="1">
      <c r="A879" s="1577"/>
      <c r="B879" s="1577"/>
      <c r="C879" s="1577"/>
      <c r="D879" s="1577"/>
      <c r="G879" s="1578"/>
      <c r="H879" s="1579"/>
    </row>
    <row r="880" spans="1:8" s="1576" customFormat="1">
      <c r="A880" s="1577"/>
      <c r="B880" s="1577"/>
      <c r="C880" s="1577"/>
      <c r="D880" s="1577"/>
      <c r="G880" s="1578"/>
      <c r="H880" s="1579"/>
    </row>
    <row r="881" spans="1:8" s="1576" customFormat="1">
      <c r="A881" s="1577"/>
      <c r="B881" s="1577"/>
      <c r="C881" s="1577"/>
      <c r="D881" s="1577"/>
      <c r="G881" s="1578"/>
      <c r="H881" s="1579"/>
    </row>
    <row r="882" spans="1:8" s="1576" customFormat="1">
      <c r="A882" s="1577"/>
      <c r="B882" s="1577"/>
      <c r="C882" s="1577"/>
      <c r="D882" s="1577"/>
      <c r="G882" s="1578"/>
      <c r="H882" s="1579"/>
    </row>
    <row r="883" spans="1:8" s="1576" customFormat="1">
      <c r="A883" s="1577"/>
      <c r="B883" s="1577"/>
      <c r="C883" s="1577"/>
      <c r="D883" s="1577"/>
      <c r="G883" s="1578"/>
      <c r="H883" s="1579"/>
    </row>
    <row r="884" spans="1:8" s="1576" customFormat="1">
      <c r="A884" s="1577"/>
      <c r="B884" s="1577"/>
      <c r="C884" s="1577"/>
      <c r="D884" s="1577"/>
      <c r="G884" s="1578"/>
      <c r="H884" s="1579"/>
    </row>
    <row r="885" spans="1:8" s="1576" customFormat="1">
      <c r="A885" s="1577"/>
      <c r="B885" s="1577"/>
      <c r="C885" s="1577"/>
      <c r="D885" s="1577"/>
      <c r="G885" s="1578"/>
      <c r="H885" s="1579"/>
    </row>
    <row r="886" spans="1:8" s="1576" customFormat="1">
      <c r="A886" s="1577"/>
      <c r="B886" s="1577"/>
      <c r="C886" s="1577"/>
      <c r="D886" s="1577"/>
      <c r="G886" s="1578"/>
      <c r="H886" s="1579"/>
    </row>
    <row r="887" spans="1:8" s="1576" customFormat="1">
      <c r="A887" s="1577"/>
      <c r="B887" s="1577"/>
      <c r="C887" s="1577"/>
      <c r="D887" s="1577"/>
      <c r="G887" s="1578"/>
      <c r="H887" s="1579"/>
    </row>
    <row r="888" spans="1:8" s="1576" customFormat="1">
      <c r="A888" s="1577"/>
      <c r="B888" s="1577"/>
      <c r="C888" s="1577"/>
      <c r="D888" s="1577"/>
      <c r="G888" s="1578"/>
      <c r="H888" s="1579"/>
    </row>
    <row r="889" spans="1:8" s="1576" customFormat="1">
      <c r="A889" s="1577"/>
      <c r="B889" s="1577"/>
      <c r="C889" s="1577"/>
      <c r="D889" s="1577"/>
      <c r="G889" s="1578"/>
      <c r="H889" s="1579"/>
    </row>
    <row r="890" spans="1:8" s="1576" customFormat="1">
      <c r="A890" s="1577"/>
      <c r="B890" s="1577"/>
      <c r="C890" s="1577"/>
      <c r="D890" s="1577"/>
      <c r="G890" s="1578"/>
      <c r="H890" s="1579"/>
    </row>
    <row r="891" spans="1:8" s="1576" customFormat="1">
      <c r="A891" s="1577"/>
      <c r="B891" s="1577"/>
      <c r="C891" s="1577"/>
      <c r="D891" s="1577"/>
      <c r="G891" s="1578"/>
      <c r="H891" s="1579"/>
    </row>
    <row r="892" spans="1:8" s="1576" customFormat="1">
      <c r="A892" s="1577"/>
      <c r="B892" s="1577"/>
      <c r="C892" s="1577"/>
      <c r="D892" s="1577"/>
      <c r="G892" s="1578"/>
      <c r="H892" s="1579"/>
    </row>
    <row r="893" spans="1:8" s="1576" customFormat="1">
      <c r="A893" s="1577"/>
      <c r="B893" s="1577"/>
      <c r="C893" s="1577"/>
      <c r="D893" s="1577"/>
      <c r="G893" s="1578"/>
      <c r="H893" s="1579"/>
    </row>
    <row r="894" spans="1:8" s="1576" customFormat="1">
      <c r="A894" s="1577"/>
      <c r="B894" s="1577"/>
      <c r="C894" s="1577"/>
      <c r="D894" s="1577"/>
      <c r="G894" s="1578"/>
      <c r="H894" s="1579"/>
    </row>
    <row r="895" spans="1:8" s="1576" customFormat="1">
      <c r="A895" s="1577"/>
      <c r="B895" s="1577"/>
      <c r="C895" s="1577"/>
      <c r="D895" s="1577"/>
      <c r="G895" s="1578"/>
      <c r="H895" s="1579"/>
    </row>
    <row r="896" spans="1:8" s="1576" customFormat="1">
      <c r="A896" s="1577"/>
      <c r="B896" s="1577"/>
      <c r="C896" s="1577"/>
      <c r="D896" s="1577"/>
      <c r="G896" s="1578"/>
      <c r="H896" s="1579"/>
    </row>
    <row r="897" spans="1:8" s="1576" customFormat="1">
      <c r="A897" s="1577"/>
      <c r="B897" s="1577"/>
      <c r="C897" s="1577"/>
      <c r="D897" s="1577"/>
      <c r="G897" s="1578"/>
      <c r="H897" s="1579"/>
    </row>
    <row r="898" spans="1:8" s="1576" customFormat="1">
      <c r="A898" s="1577"/>
      <c r="B898" s="1577"/>
      <c r="C898" s="1577"/>
      <c r="D898" s="1577"/>
      <c r="G898" s="1578"/>
      <c r="H898" s="1579"/>
    </row>
    <row r="899" spans="1:8" s="1576" customFormat="1">
      <c r="A899" s="1577"/>
      <c r="B899" s="1577"/>
      <c r="C899" s="1577"/>
      <c r="D899" s="1577"/>
      <c r="G899" s="1578"/>
      <c r="H899" s="1579"/>
    </row>
    <row r="900" spans="1:8" s="1576" customFormat="1">
      <c r="A900" s="1577"/>
      <c r="B900" s="1577"/>
      <c r="C900" s="1577"/>
      <c r="D900" s="1577"/>
      <c r="G900" s="1578"/>
      <c r="H900" s="1579"/>
    </row>
    <row r="901" spans="1:8" s="1576" customFormat="1">
      <c r="A901" s="1577"/>
      <c r="B901" s="1577"/>
      <c r="C901" s="1577"/>
      <c r="D901" s="1577"/>
      <c r="G901" s="1578"/>
      <c r="H901" s="1579"/>
    </row>
    <row r="902" spans="1:8" s="1576" customFormat="1">
      <c r="A902" s="1577"/>
      <c r="B902" s="1577"/>
      <c r="C902" s="1577"/>
      <c r="D902" s="1577"/>
      <c r="G902" s="1578"/>
      <c r="H902" s="1579"/>
    </row>
    <row r="903" spans="1:8" s="1576" customFormat="1">
      <c r="A903" s="1577"/>
      <c r="B903" s="1577"/>
      <c r="C903" s="1577"/>
      <c r="D903" s="1577"/>
      <c r="G903" s="1578"/>
      <c r="H903" s="1579"/>
    </row>
    <row r="904" spans="1:8" s="1576" customFormat="1">
      <c r="A904" s="1577"/>
      <c r="B904" s="1577"/>
      <c r="C904" s="1577"/>
      <c r="D904" s="1577"/>
      <c r="G904" s="1578"/>
      <c r="H904" s="1579"/>
    </row>
    <row r="905" spans="1:8" s="1576" customFormat="1">
      <c r="A905" s="1577"/>
      <c r="B905" s="1577"/>
      <c r="C905" s="1577"/>
      <c r="D905" s="1577"/>
      <c r="G905" s="1578"/>
      <c r="H905" s="1579"/>
    </row>
    <row r="906" spans="1:8" s="1576" customFormat="1">
      <c r="A906" s="1577"/>
      <c r="B906" s="1577"/>
      <c r="C906" s="1577"/>
      <c r="D906" s="1577"/>
      <c r="G906" s="1578"/>
      <c r="H906" s="1579"/>
    </row>
    <row r="907" spans="1:8" s="1576" customFormat="1">
      <c r="A907" s="1577"/>
      <c r="B907" s="1577"/>
      <c r="C907" s="1577"/>
      <c r="D907" s="1577"/>
      <c r="G907" s="1578"/>
      <c r="H907" s="1579"/>
    </row>
    <row r="908" spans="1:8" s="1576" customFormat="1">
      <c r="A908" s="1577"/>
      <c r="B908" s="1577"/>
      <c r="C908" s="1577"/>
      <c r="D908" s="1577"/>
      <c r="G908" s="1578"/>
      <c r="H908" s="1579"/>
    </row>
    <row r="909" spans="1:8" s="1576" customFormat="1">
      <c r="A909" s="1577"/>
      <c r="B909" s="1577"/>
      <c r="C909" s="1577"/>
      <c r="D909" s="1577"/>
      <c r="G909" s="1578"/>
      <c r="H909" s="1579"/>
    </row>
    <row r="910" spans="1:8" s="1576" customFormat="1">
      <c r="A910" s="1577"/>
      <c r="B910" s="1577"/>
      <c r="C910" s="1577"/>
      <c r="D910" s="1577"/>
      <c r="G910" s="1578"/>
      <c r="H910" s="1579"/>
    </row>
    <row r="911" spans="1:8" s="1576" customFormat="1">
      <c r="A911" s="1577"/>
      <c r="B911" s="1577"/>
      <c r="C911" s="1577"/>
      <c r="D911" s="1577"/>
      <c r="G911" s="1578"/>
      <c r="H911" s="1579"/>
    </row>
    <row r="912" spans="1:8" s="1576" customFormat="1">
      <c r="A912" s="1577"/>
      <c r="B912" s="1577"/>
      <c r="C912" s="1577"/>
      <c r="D912" s="1577"/>
      <c r="G912" s="1578"/>
      <c r="H912" s="1579"/>
    </row>
    <row r="913" spans="1:8" s="1576" customFormat="1">
      <c r="A913" s="1577"/>
      <c r="B913" s="1577"/>
      <c r="C913" s="1577"/>
      <c r="D913" s="1577"/>
      <c r="G913" s="1578"/>
      <c r="H913" s="1579"/>
    </row>
    <row r="914" spans="1:8" s="1576" customFormat="1">
      <c r="A914" s="1577"/>
      <c r="B914" s="1577"/>
      <c r="C914" s="1577"/>
      <c r="D914" s="1577"/>
      <c r="G914" s="1578"/>
      <c r="H914" s="1579"/>
    </row>
    <row r="915" spans="1:8" s="1576" customFormat="1">
      <c r="A915" s="1577"/>
      <c r="B915" s="1577"/>
      <c r="C915" s="1577"/>
      <c r="D915" s="1577"/>
      <c r="G915" s="1578"/>
      <c r="H915" s="1579"/>
    </row>
    <row r="916" spans="1:8" s="1576" customFormat="1">
      <c r="A916" s="1577"/>
      <c r="B916" s="1577"/>
      <c r="C916" s="1577"/>
      <c r="D916" s="1577"/>
      <c r="G916" s="1578"/>
      <c r="H916" s="1579"/>
    </row>
    <row r="917" spans="1:8" s="1576" customFormat="1">
      <c r="A917" s="1577"/>
      <c r="B917" s="1577"/>
      <c r="C917" s="1577"/>
      <c r="D917" s="1577"/>
      <c r="G917" s="1578"/>
      <c r="H917" s="1579"/>
    </row>
    <row r="918" spans="1:8" s="1576" customFormat="1">
      <c r="A918" s="1577"/>
      <c r="B918" s="1577"/>
      <c r="C918" s="1577"/>
      <c r="D918" s="1577"/>
      <c r="G918" s="1578"/>
      <c r="H918" s="1579"/>
    </row>
    <row r="919" spans="1:8" s="1576" customFormat="1">
      <c r="A919" s="1577"/>
      <c r="B919" s="1577"/>
      <c r="C919" s="1577"/>
      <c r="D919" s="1577"/>
      <c r="G919" s="1578"/>
      <c r="H919" s="1579"/>
    </row>
    <row r="920" spans="1:8" s="1576" customFormat="1">
      <c r="A920" s="1577"/>
      <c r="B920" s="1577"/>
      <c r="C920" s="1577"/>
      <c r="D920" s="1577"/>
      <c r="G920" s="1578"/>
      <c r="H920" s="1579"/>
    </row>
    <row r="921" spans="1:8" s="1576" customFormat="1">
      <c r="A921" s="1577"/>
      <c r="B921" s="1577"/>
      <c r="C921" s="1577"/>
      <c r="D921" s="1577"/>
      <c r="G921" s="1578"/>
      <c r="H921" s="1579"/>
    </row>
    <row r="922" spans="1:8" s="1576" customFormat="1">
      <c r="A922" s="1577"/>
      <c r="B922" s="1577"/>
      <c r="C922" s="1577"/>
      <c r="D922" s="1577"/>
      <c r="G922" s="1578"/>
      <c r="H922" s="1579"/>
    </row>
    <row r="923" spans="1:8" s="1576" customFormat="1">
      <c r="A923" s="1577"/>
      <c r="B923" s="1577"/>
      <c r="C923" s="1577"/>
      <c r="D923" s="1577"/>
      <c r="G923" s="1578"/>
      <c r="H923" s="1579"/>
    </row>
    <row r="924" spans="1:8" s="1576" customFormat="1">
      <c r="A924" s="1577"/>
      <c r="B924" s="1577"/>
      <c r="C924" s="1577"/>
      <c r="D924" s="1577"/>
      <c r="G924" s="1578"/>
      <c r="H924" s="1579"/>
    </row>
    <row r="925" spans="1:8" s="1576" customFormat="1">
      <c r="A925" s="1577"/>
      <c r="B925" s="1577"/>
      <c r="C925" s="1577"/>
      <c r="D925" s="1577"/>
      <c r="G925" s="1578"/>
      <c r="H925" s="1579"/>
    </row>
    <row r="926" spans="1:8" s="1576" customFormat="1">
      <c r="A926" s="1577"/>
      <c r="B926" s="1577"/>
      <c r="C926" s="1577"/>
      <c r="D926" s="1577"/>
      <c r="G926" s="1578"/>
      <c r="H926" s="1579"/>
    </row>
    <row r="927" spans="1:8" s="1576" customFormat="1">
      <c r="A927" s="1577"/>
      <c r="B927" s="1577"/>
      <c r="C927" s="1577"/>
      <c r="D927" s="1577"/>
      <c r="G927" s="1578"/>
      <c r="H927" s="1579"/>
    </row>
    <row r="928" spans="1:8" s="1576" customFormat="1">
      <c r="A928" s="1577"/>
      <c r="B928" s="1577"/>
      <c r="C928" s="1577"/>
      <c r="D928" s="1577"/>
      <c r="G928" s="1578"/>
      <c r="H928" s="1579"/>
    </row>
    <row r="929" spans="1:8" s="1576" customFormat="1">
      <c r="A929" s="1577"/>
      <c r="B929" s="1577"/>
      <c r="C929" s="1577"/>
      <c r="D929" s="1577"/>
      <c r="G929" s="1578"/>
      <c r="H929" s="1579"/>
    </row>
    <row r="930" spans="1:8" s="1576" customFormat="1">
      <c r="A930" s="1577"/>
      <c r="B930" s="1577"/>
      <c r="C930" s="1577"/>
      <c r="D930" s="1577"/>
      <c r="G930" s="1578"/>
      <c r="H930" s="1579"/>
    </row>
    <row r="931" spans="1:8" s="1576" customFormat="1">
      <c r="A931" s="1577"/>
      <c r="B931" s="1577"/>
      <c r="C931" s="1577"/>
      <c r="D931" s="1577"/>
      <c r="G931" s="1578"/>
      <c r="H931" s="1579"/>
    </row>
    <row r="932" spans="1:8" s="1576" customFormat="1">
      <c r="A932" s="1577"/>
      <c r="B932" s="1577"/>
      <c r="C932" s="1577"/>
      <c r="D932" s="1577"/>
      <c r="G932" s="1578"/>
      <c r="H932" s="1579"/>
    </row>
    <row r="933" spans="1:8" s="1576" customFormat="1">
      <c r="A933" s="1577"/>
      <c r="B933" s="1577"/>
      <c r="C933" s="1577"/>
      <c r="D933" s="1577"/>
      <c r="G933" s="1578"/>
      <c r="H933" s="1579"/>
    </row>
    <row r="934" spans="1:8" s="1576" customFormat="1">
      <c r="A934" s="1577"/>
      <c r="B934" s="1577"/>
      <c r="C934" s="1577"/>
      <c r="D934" s="1577"/>
      <c r="G934" s="1578"/>
      <c r="H934" s="1579"/>
    </row>
    <row r="935" spans="1:8" s="1576" customFormat="1">
      <c r="A935" s="1577"/>
      <c r="B935" s="1577"/>
      <c r="C935" s="1577"/>
      <c r="D935" s="1577"/>
      <c r="G935" s="1578"/>
      <c r="H935" s="1579"/>
    </row>
    <row r="936" spans="1:8" s="1576" customFormat="1">
      <c r="A936" s="1577"/>
      <c r="B936" s="1577"/>
      <c r="C936" s="1577"/>
      <c r="D936" s="1577"/>
      <c r="G936" s="1578"/>
      <c r="H936" s="1579"/>
    </row>
    <row r="937" spans="1:8" s="1576" customFormat="1">
      <c r="A937" s="1577"/>
      <c r="B937" s="1577"/>
      <c r="C937" s="1577"/>
      <c r="D937" s="1577"/>
      <c r="G937" s="1578"/>
      <c r="H937" s="1579"/>
    </row>
    <row r="938" spans="1:8" s="1576" customFormat="1">
      <c r="A938" s="1577"/>
      <c r="B938" s="1577"/>
      <c r="C938" s="1577"/>
      <c r="D938" s="1577"/>
      <c r="G938" s="1578"/>
      <c r="H938" s="1579"/>
    </row>
    <row r="939" spans="1:8" s="1576" customFormat="1">
      <c r="A939" s="1577"/>
      <c r="B939" s="1577"/>
      <c r="C939" s="1577"/>
      <c r="D939" s="1577"/>
      <c r="G939" s="1578"/>
      <c r="H939" s="1579"/>
    </row>
    <row r="940" spans="1:8" s="1576" customFormat="1">
      <c r="A940" s="1577"/>
      <c r="B940" s="1577"/>
      <c r="C940" s="1577"/>
      <c r="D940" s="1577"/>
      <c r="G940" s="1578"/>
      <c r="H940" s="1579"/>
    </row>
    <row r="941" spans="1:8" s="1576" customFormat="1">
      <c r="A941" s="1577"/>
      <c r="B941" s="1577"/>
      <c r="C941" s="1577"/>
      <c r="D941" s="1577"/>
      <c r="G941" s="1578"/>
      <c r="H941" s="1579"/>
    </row>
    <row r="942" spans="1:8" s="1576" customFormat="1">
      <c r="A942" s="1577"/>
      <c r="B942" s="1577"/>
      <c r="C942" s="1577"/>
      <c r="D942" s="1577"/>
      <c r="G942" s="1578"/>
      <c r="H942" s="1579"/>
    </row>
    <row r="943" spans="1:8" s="1576" customFormat="1">
      <c r="A943" s="1577"/>
      <c r="B943" s="1577"/>
      <c r="C943" s="1577"/>
      <c r="D943" s="1577"/>
      <c r="G943" s="1578"/>
      <c r="H943" s="1579"/>
    </row>
    <row r="944" spans="1:8" s="1576" customFormat="1">
      <c r="A944" s="1577"/>
      <c r="B944" s="1577"/>
      <c r="C944" s="1577"/>
      <c r="D944" s="1577"/>
      <c r="G944" s="1578"/>
      <c r="H944" s="1579"/>
    </row>
    <row r="945" spans="1:8" s="1576" customFormat="1">
      <c r="A945" s="1577"/>
      <c r="B945" s="1577"/>
      <c r="C945" s="1577"/>
      <c r="D945" s="1577"/>
      <c r="G945" s="1578"/>
      <c r="H945" s="1579"/>
    </row>
    <row r="946" spans="1:8" s="1576" customFormat="1">
      <c r="A946" s="1577"/>
      <c r="B946" s="1577"/>
      <c r="C946" s="1577"/>
      <c r="D946" s="1577"/>
      <c r="G946" s="1578"/>
      <c r="H946" s="1579"/>
    </row>
    <row r="947" spans="1:8" s="1576" customFormat="1">
      <c r="A947" s="1577"/>
      <c r="B947" s="1577"/>
      <c r="C947" s="1577"/>
      <c r="D947" s="1577"/>
      <c r="G947" s="1578"/>
      <c r="H947" s="1579"/>
    </row>
    <row r="948" spans="1:8" s="1576" customFormat="1">
      <c r="A948" s="1577"/>
      <c r="B948" s="1577"/>
      <c r="C948" s="1577"/>
      <c r="D948" s="1577"/>
      <c r="G948" s="1578"/>
      <c r="H948" s="1579"/>
    </row>
    <row r="949" spans="1:8" s="1576" customFormat="1">
      <c r="A949" s="1577"/>
      <c r="B949" s="1577"/>
      <c r="C949" s="1577"/>
      <c r="D949" s="1577"/>
      <c r="G949" s="1578"/>
      <c r="H949" s="1579"/>
    </row>
    <row r="950" spans="1:8" s="1576" customFormat="1">
      <c r="A950" s="1577"/>
      <c r="B950" s="1577"/>
      <c r="C950" s="1577"/>
      <c r="D950" s="1577"/>
      <c r="G950" s="1578"/>
      <c r="H950" s="1579"/>
    </row>
    <row r="951" spans="1:8" s="1576" customFormat="1">
      <c r="A951" s="1577"/>
      <c r="B951" s="1577"/>
      <c r="C951" s="1577"/>
      <c r="D951" s="1577"/>
      <c r="G951" s="1578"/>
      <c r="H951" s="1579"/>
    </row>
    <row r="952" spans="1:8" s="1576" customFormat="1">
      <c r="A952" s="1577"/>
      <c r="B952" s="1577"/>
      <c r="C952" s="1577"/>
      <c r="D952" s="1577"/>
      <c r="G952" s="1578"/>
      <c r="H952" s="1579"/>
    </row>
    <row r="953" spans="1:8" s="1576" customFormat="1">
      <c r="A953" s="1577"/>
      <c r="B953" s="1577"/>
      <c r="C953" s="1577"/>
      <c r="D953" s="1577"/>
      <c r="G953" s="1578"/>
      <c r="H953" s="1579"/>
    </row>
    <row r="954" spans="1:8" s="1576" customFormat="1">
      <c r="A954" s="1577"/>
      <c r="B954" s="1577"/>
      <c r="C954" s="1577"/>
      <c r="D954" s="1577"/>
      <c r="G954" s="1578"/>
      <c r="H954" s="1579"/>
    </row>
    <row r="955" spans="1:8" s="1576" customFormat="1">
      <c r="A955" s="1577"/>
      <c r="B955" s="1577"/>
      <c r="C955" s="1577"/>
      <c r="D955" s="1577"/>
      <c r="G955" s="1578"/>
      <c r="H955" s="1579"/>
    </row>
    <row r="956" spans="1:8" s="1576" customFormat="1">
      <c r="A956" s="1577"/>
      <c r="B956" s="1577"/>
      <c r="C956" s="1577"/>
      <c r="D956" s="1577"/>
      <c r="G956" s="1578"/>
      <c r="H956" s="1579"/>
    </row>
    <row r="957" spans="1:8" s="1576" customFormat="1">
      <c r="A957" s="1577"/>
      <c r="B957" s="1577"/>
      <c r="C957" s="1577"/>
      <c r="D957" s="1577"/>
      <c r="G957" s="1578"/>
      <c r="H957" s="1579"/>
    </row>
    <row r="958" spans="1:8" s="1576" customFormat="1">
      <c r="A958" s="1577"/>
      <c r="B958" s="1577"/>
      <c r="C958" s="1577"/>
      <c r="D958" s="1577"/>
      <c r="G958" s="1578"/>
      <c r="H958" s="1579"/>
    </row>
    <row r="959" spans="1:8" s="1576" customFormat="1">
      <c r="A959" s="1577"/>
      <c r="B959" s="1577"/>
      <c r="C959" s="1577"/>
      <c r="D959" s="1577"/>
      <c r="G959" s="1578"/>
      <c r="H959" s="1579"/>
    </row>
    <row r="960" spans="1:8" s="1576" customFormat="1">
      <c r="A960" s="1577"/>
      <c r="B960" s="1577"/>
      <c r="C960" s="1577"/>
      <c r="D960" s="1577"/>
      <c r="G960" s="1578"/>
      <c r="H960" s="1579"/>
    </row>
    <row r="961" spans="1:8" s="1576" customFormat="1">
      <c r="A961" s="1577"/>
      <c r="B961" s="1577"/>
      <c r="C961" s="1577"/>
      <c r="D961" s="1577"/>
      <c r="G961" s="1578"/>
      <c r="H961" s="1579"/>
    </row>
    <row r="962" spans="1:8" s="1576" customFormat="1">
      <c r="A962" s="1577"/>
      <c r="B962" s="1577"/>
      <c r="C962" s="1577"/>
      <c r="D962" s="1577"/>
      <c r="G962" s="1578"/>
      <c r="H962" s="1579"/>
    </row>
    <row r="963" spans="1:8" s="1576" customFormat="1">
      <c r="A963" s="1577"/>
      <c r="B963" s="1577"/>
      <c r="C963" s="1577"/>
      <c r="D963" s="1577"/>
      <c r="G963" s="1578"/>
      <c r="H963" s="1579"/>
    </row>
    <row r="964" spans="1:8" s="1576" customFormat="1">
      <c r="A964" s="1577"/>
      <c r="B964" s="1577"/>
      <c r="C964" s="1577"/>
      <c r="D964" s="1577"/>
      <c r="G964" s="1578"/>
      <c r="H964" s="1579"/>
    </row>
    <row r="965" spans="1:8" s="1576" customFormat="1">
      <c r="A965" s="1577"/>
      <c r="B965" s="1577"/>
      <c r="C965" s="1577"/>
      <c r="D965" s="1577"/>
      <c r="G965" s="1578"/>
      <c r="H965" s="1579"/>
    </row>
    <row r="966" spans="1:8" s="1576" customFormat="1">
      <c r="A966" s="1577"/>
      <c r="B966" s="1577"/>
      <c r="C966" s="1577"/>
      <c r="D966" s="1577"/>
      <c r="G966" s="1578"/>
      <c r="H966" s="1579"/>
    </row>
    <row r="967" spans="1:8" s="1576" customFormat="1">
      <c r="A967" s="1577"/>
      <c r="B967" s="1577"/>
      <c r="C967" s="1577"/>
      <c r="D967" s="1577"/>
      <c r="G967" s="1578"/>
      <c r="H967" s="1579"/>
    </row>
    <row r="968" spans="1:8" s="1576" customFormat="1">
      <c r="A968" s="1577"/>
      <c r="B968" s="1577"/>
      <c r="C968" s="1577"/>
      <c r="D968" s="1577"/>
      <c r="G968" s="1578"/>
      <c r="H968" s="1579"/>
    </row>
    <row r="969" spans="1:8" s="1576" customFormat="1">
      <c r="A969" s="1577"/>
      <c r="B969" s="1577"/>
      <c r="C969" s="1577"/>
      <c r="D969" s="1577"/>
      <c r="G969" s="1578"/>
      <c r="H969" s="1579"/>
    </row>
    <row r="970" spans="1:8" s="1576" customFormat="1">
      <c r="A970" s="1577"/>
      <c r="B970" s="1577"/>
      <c r="C970" s="1577"/>
      <c r="D970" s="1577"/>
      <c r="G970" s="1578"/>
      <c r="H970" s="1579"/>
    </row>
    <row r="971" spans="1:8" s="1576" customFormat="1">
      <c r="A971" s="1577"/>
      <c r="B971" s="1577"/>
      <c r="C971" s="1577"/>
      <c r="D971" s="1577"/>
      <c r="G971" s="1578"/>
      <c r="H971" s="1579"/>
    </row>
    <row r="972" spans="1:8" s="1576" customFormat="1">
      <c r="A972" s="1577"/>
      <c r="B972" s="1577"/>
      <c r="C972" s="1577"/>
      <c r="D972" s="1577"/>
      <c r="G972" s="1578"/>
      <c r="H972" s="1579"/>
    </row>
    <row r="973" spans="1:8" s="1576" customFormat="1">
      <c r="A973" s="1577"/>
      <c r="B973" s="1577"/>
      <c r="C973" s="1577"/>
      <c r="D973" s="1577"/>
      <c r="G973" s="1578"/>
      <c r="H973" s="1579"/>
    </row>
    <row r="974" spans="1:8" s="1576" customFormat="1">
      <c r="A974" s="1577"/>
      <c r="B974" s="1577"/>
      <c r="C974" s="1577"/>
      <c r="D974" s="1577"/>
      <c r="G974" s="1578"/>
      <c r="H974" s="1579"/>
    </row>
    <row r="975" spans="1:8" s="1576" customFormat="1">
      <c r="A975" s="1577"/>
      <c r="B975" s="1577"/>
      <c r="C975" s="1577"/>
      <c r="D975" s="1577"/>
      <c r="G975" s="1578"/>
      <c r="H975" s="1579"/>
    </row>
    <row r="976" spans="1:8" s="1576" customFormat="1">
      <c r="A976" s="1577"/>
      <c r="B976" s="1577"/>
      <c r="C976" s="1577"/>
      <c r="D976" s="1577"/>
      <c r="G976" s="1578"/>
      <c r="H976" s="1579"/>
    </row>
    <row r="977" spans="1:8" s="1576" customFormat="1">
      <c r="A977" s="1577"/>
      <c r="B977" s="1577"/>
      <c r="C977" s="1577"/>
      <c r="D977" s="1577"/>
      <c r="G977" s="1578"/>
      <c r="H977" s="1579"/>
    </row>
    <row r="978" spans="1:8" s="1576" customFormat="1">
      <c r="A978" s="1577"/>
      <c r="B978" s="1577"/>
      <c r="C978" s="1577"/>
      <c r="D978" s="1577"/>
      <c r="G978" s="1578"/>
      <c r="H978" s="1579"/>
    </row>
    <row r="979" spans="1:8" s="1576" customFormat="1">
      <c r="A979" s="1577"/>
      <c r="B979" s="1577"/>
      <c r="C979" s="1577"/>
      <c r="D979" s="1577"/>
      <c r="G979" s="1578"/>
      <c r="H979" s="1579"/>
    </row>
    <row r="980" spans="1:8" s="1576" customFormat="1">
      <c r="A980" s="1577"/>
      <c r="B980" s="1577"/>
      <c r="C980" s="1577"/>
      <c r="D980" s="1577"/>
      <c r="G980" s="1578"/>
      <c r="H980" s="1579"/>
    </row>
    <row r="981" spans="1:8" s="1576" customFormat="1">
      <c r="A981" s="1577"/>
      <c r="B981" s="1577"/>
      <c r="C981" s="1577"/>
      <c r="D981" s="1577"/>
      <c r="G981" s="1578"/>
      <c r="H981" s="1579"/>
    </row>
    <row r="982" spans="1:8" s="1576" customFormat="1">
      <c r="A982" s="1577"/>
      <c r="B982" s="1577"/>
      <c r="C982" s="1577"/>
      <c r="D982" s="1577"/>
      <c r="G982" s="1578"/>
      <c r="H982" s="1579"/>
    </row>
    <row r="983" spans="1:8" s="1576" customFormat="1">
      <c r="A983" s="1577"/>
      <c r="B983" s="1577"/>
      <c r="C983" s="1577"/>
      <c r="D983" s="1577"/>
      <c r="G983" s="1578"/>
      <c r="H983" s="1579"/>
    </row>
    <row r="984" spans="1:8" s="1576" customFormat="1">
      <c r="A984" s="1577"/>
      <c r="B984" s="1577"/>
      <c r="C984" s="1577"/>
      <c r="D984" s="1577"/>
      <c r="G984" s="1578"/>
      <c r="H984" s="1579"/>
    </row>
    <row r="985" spans="1:8" s="1576" customFormat="1">
      <c r="A985" s="1577"/>
      <c r="B985" s="1577"/>
      <c r="C985" s="1577"/>
      <c r="D985" s="1577"/>
      <c r="G985" s="1578"/>
      <c r="H985" s="1579"/>
    </row>
    <row r="986" spans="1:8" s="1576" customFormat="1">
      <c r="A986" s="1577"/>
      <c r="B986" s="1577"/>
      <c r="C986" s="1577"/>
      <c r="D986" s="1577"/>
      <c r="G986" s="1578"/>
      <c r="H986" s="1579"/>
    </row>
    <row r="987" spans="1:8" s="1576" customFormat="1">
      <c r="A987" s="1577"/>
      <c r="B987" s="1577"/>
      <c r="C987" s="1577"/>
      <c r="D987" s="1577"/>
      <c r="G987" s="1578"/>
      <c r="H987" s="1579"/>
    </row>
    <row r="988" spans="1:8" s="1576" customFormat="1">
      <c r="A988" s="1577"/>
      <c r="B988" s="1577"/>
      <c r="C988" s="1577"/>
      <c r="D988" s="1577"/>
      <c r="G988" s="1578"/>
      <c r="H988" s="1579"/>
    </row>
    <row r="989" spans="1:8" s="1576" customFormat="1">
      <c r="A989" s="1577"/>
      <c r="B989" s="1577"/>
      <c r="C989" s="1577"/>
      <c r="D989" s="1577"/>
      <c r="G989" s="1578"/>
      <c r="H989" s="1579"/>
    </row>
    <row r="990" spans="1:8" s="1576" customFormat="1">
      <c r="A990" s="1577"/>
      <c r="B990" s="1577"/>
      <c r="C990" s="1577"/>
      <c r="D990" s="1577"/>
      <c r="G990" s="1578"/>
      <c r="H990" s="1579"/>
    </row>
    <row r="991" spans="1:8" s="1576" customFormat="1">
      <c r="A991" s="1577"/>
      <c r="B991" s="1577"/>
      <c r="C991" s="1577"/>
      <c r="D991" s="1577"/>
      <c r="G991" s="1578"/>
      <c r="H991" s="1579"/>
    </row>
    <row r="992" spans="1:8" s="1576" customFormat="1">
      <c r="A992" s="1577"/>
      <c r="B992" s="1577"/>
      <c r="C992" s="1577"/>
      <c r="D992" s="1577"/>
      <c r="G992" s="1578"/>
      <c r="H992" s="1579"/>
    </row>
    <row r="993" spans="1:8" s="1576" customFormat="1">
      <c r="A993" s="1577"/>
      <c r="B993" s="1577"/>
      <c r="C993" s="1577"/>
      <c r="D993" s="1577"/>
      <c r="G993" s="1578"/>
      <c r="H993" s="1579"/>
    </row>
    <row r="994" spans="1:8" s="1576" customFormat="1">
      <c r="A994" s="1577"/>
      <c r="B994" s="1577"/>
      <c r="C994" s="1577"/>
      <c r="D994" s="1577"/>
      <c r="G994" s="1578"/>
      <c r="H994" s="1579"/>
    </row>
    <row r="995" spans="1:8" s="1576" customFormat="1">
      <c r="A995" s="1577"/>
      <c r="B995" s="1577"/>
      <c r="C995" s="1577"/>
      <c r="D995" s="1577"/>
      <c r="G995" s="1578"/>
      <c r="H995" s="1579"/>
    </row>
    <row r="996" spans="1:8" s="1576" customFormat="1">
      <c r="A996" s="1577"/>
      <c r="B996" s="1577"/>
      <c r="C996" s="1577"/>
      <c r="D996" s="1577"/>
      <c r="G996" s="1578"/>
      <c r="H996" s="1579"/>
    </row>
    <row r="997" spans="1:8" s="1576" customFormat="1">
      <c r="A997" s="1577"/>
      <c r="B997" s="1577"/>
      <c r="C997" s="1577"/>
      <c r="D997" s="1577"/>
      <c r="G997" s="1578"/>
      <c r="H997" s="1579"/>
    </row>
    <row r="998" spans="1:8" s="1576" customFormat="1">
      <c r="A998" s="1577"/>
      <c r="B998" s="1577"/>
      <c r="C998" s="1577"/>
      <c r="D998" s="1577"/>
      <c r="G998" s="1578"/>
      <c r="H998" s="1579"/>
    </row>
    <row r="999" spans="1:8" s="1576" customFormat="1">
      <c r="A999" s="1577"/>
      <c r="B999" s="1577"/>
      <c r="C999" s="1577"/>
      <c r="D999" s="1577"/>
      <c r="G999" s="1578"/>
      <c r="H999" s="1579"/>
    </row>
    <row r="1000" spans="1:8" s="1576" customFormat="1">
      <c r="A1000" s="1577"/>
      <c r="B1000" s="1577"/>
      <c r="C1000" s="1577"/>
      <c r="D1000" s="1577"/>
      <c r="G1000" s="1578"/>
      <c r="H1000" s="1579"/>
    </row>
    <row r="1001" spans="1:8" s="1576" customFormat="1">
      <c r="A1001" s="1577"/>
      <c r="B1001" s="1577"/>
      <c r="C1001" s="1577"/>
      <c r="D1001" s="1577"/>
      <c r="G1001" s="1578"/>
      <c r="H1001" s="1579"/>
    </row>
    <row r="1002" spans="1:8" s="1576" customFormat="1">
      <c r="A1002" s="1577"/>
      <c r="B1002" s="1577"/>
      <c r="C1002" s="1577"/>
      <c r="D1002" s="1577"/>
      <c r="G1002" s="1578"/>
      <c r="H1002" s="1579"/>
    </row>
    <row r="1003" spans="1:8" s="1576" customFormat="1">
      <c r="A1003" s="1577"/>
      <c r="B1003" s="1577"/>
      <c r="C1003" s="1577"/>
      <c r="D1003" s="1577"/>
      <c r="G1003" s="1578"/>
      <c r="H1003" s="1579"/>
    </row>
    <row r="1004" spans="1:8" s="1576" customFormat="1">
      <c r="A1004" s="1577"/>
      <c r="B1004" s="1577"/>
      <c r="C1004" s="1577"/>
      <c r="D1004" s="1577"/>
      <c r="G1004" s="1578"/>
      <c r="H1004" s="1579"/>
    </row>
    <row r="1005" spans="1:8" s="1576" customFormat="1">
      <c r="A1005" s="1577"/>
      <c r="B1005" s="1577"/>
      <c r="C1005" s="1577"/>
      <c r="D1005" s="1577"/>
      <c r="G1005" s="1578"/>
      <c r="H1005" s="1579"/>
    </row>
    <row r="1006" spans="1:8" s="1576" customFormat="1">
      <c r="A1006" s="1577"/>
      <c r="B1006" s="1577"/>
      <c r="C1006" s="1577"/>
      <c r="D1006" s="1577"/>
      <c r="G1006" s="1578"/>
      <c r="H1006" s="1579"/>
    </row>
    <row r="1007" spans="1:8" s="1576" customFormat="1">
      <c r="A1007" s="1577"/>
      <c r="B1007" s="1577"/>
      <c r="C1007" s="1577"/>
      <c r="D1007" s="1577"/>
      <c r="G1007" s="1578"/>
      <c r="H1007" s="1579"/>
    </row>
    <row r="1008" spans="1:8" s="1576" customFormat="1">
      <c r="A1008" s="1577"/>
      <c r="B1008" s="1577"/>
      <c r="C1008" s="1577"/>
      <c r="D1008" s="1577"/>
      <c r="G1008" s="1578"/>
      <c r="H1008" s="1579"/>
    </row>
    <row r="1009" spans="1:8" s="1576" customFormat="1">
      <c r="A1009" s="1577"/>
      <c r="B1009" s="1577"/>
      <c r="C1009" s="1577"/>
      <c r="D1009" s="1577"/>
      <c r="G1009" s="1578"/>
      <c r="H1009" s="1579"/>
    </row>
    <row r="1010" spans="1:8" s="1576" customFormat="1">
      <c r="A1010" s="1577"/>
      <c r="B1010" s="1577"/>
      <c r="C1010" s="1577"/>
      <c r="D1010" s="1577"/>
      <c r="G1010" s="1578"/>
      <c r="H1010" s="1579"/>
    </row>
    <row r="1011" spans="1:8" s="1576" customFormat="1">
      <c r="A1011" s="1577"/>
      <c r="B1011" s="1577"/>
      <c r="C1011" s="1577"/>
      <c r="D1011" s="1577"/>
      <c r="G1011" s="1578"/>
      <c r="H1011" s="1579"/>
    </row>
    <row r="1012" spans="1:8" s="1576" customFormat="1">
      <c r="A1012" s="1577"/>
      <c r="B1012" s="1577"/>
      <c r="C1012" s="1577"/>
      <c r="D1012" s="1577"/>
      <c r="G1012" s="1578"/>
      <c r="H1012" s="1579"/>
    </row>
    <row r="1013" spans="1:8" s="1576" customFormat="1">
      <c r="A1013" s="1577"/>
      <c r="B1013" s="1577"/>
      <c r="C1013" s="1577"/>
      <c r="D1013" s="1577"/>
      <c r="G1013" s="1578"/>
      <c r="H1013" s="1579"/>
    </row>
    <row r="1014" spans="1:8" s="1576" customFormat="1">
      <c r="A1014" s="1577"/>
      <c r="B1014" s="1577"/>
      <c r="C1014" s="1577"/>
      <c r="D1014" s="1577"/>
      <c r="G1014" s="1578"/>
      <c r="H1014" s="1579"/>
    </row>
    <row r="1015" spans="1:8" s="1576" customFormat="1">
      <c r="A1015" s="1577"/>
      <c r="B1015" s="1577"/>
      <c r="C1015" s="1577"/>
      <c r="D1015" s="1577"/>
      <c r="G1015" s="1578"/>
      <c r="H1015" s="1579"/>
    </row>
    <row r="1016" spans="1:8" s="1576" customFormat="1">
      <c r="A1016" s="1577"/>
      <c r="B1016" s="1577"/>
      <c r="C1016" s="1577"/>
      <c r="D1016" s="1577"/>
      <c r="G1016" s="1578"/>
      <c r="H1016" s="1579"/>
    </row>
    <row r="1017" spans="1:8" s="1576" customFormat="1">
      <c r="A1017" s="1577"/>
      <c r="B1017" s="1577"/>
      <c r="C1017" s="1577"/>
      <c r="D1017" s="1577"/>
      <c r="G1017" s="1578"/>
      <c r="H1017" s="1579"/>
    </row>
    <row r="1018" spans="1:8" s="1576" customFormat="1">
      <c r="A1018" s="1577"/>
      <c r="B1018" s="1577"/>
      <c r="C1018" s="1577"/>
      <c r="D1018" s="1577"/>
      <c r="G1018" s="1578"/>
      <c r="H1018" s="1579"/>
    </row>
    <row r="1019" spans="1:8" s="1576" customFormat="1">
      <c r="A1019" s="1577"/>
      <c r="B1019" s="1577"/>
      <c r="C1019" s="1577"/>
      <c r="D1019" s="1577"/>
      <c r="G1019" s="1578"/>
      <c r="H1019" s="1579"/>
    </row>
    <row r="1020" spans="1:8" s="1576" customFormat="1">
      <c r="A1020" s="1577"/>
      <c r="B1020" s="1577"/>
      <c r="C1020" s="1577"/>
      <c r="D1020" s="1577"/>
      <c r="G1020" s="1578"/>
      <c r="H1020" s="1579"/>
    </row>
    <row r="1021" spans="1:8" s="1576" customFormat="1">
      <c r="A1021" s="1577"/>
      <c r="B1021" s="1577"/>
      <c r="C1021" s="1577"/>
      <c r="D1021" s="1577"/>
      <c r="G1021" s="1578"/>
      <c r="H1021" s="1579"/>
    </row>
    <row r="1022" spans="1:8" s="1576" customFormat="1">
      <c r="A1022" s="1577"/>
      <c r="B1022" s="1577"/>
      <c r="C1022" s="1577"/>
      <c r="D1022" s="1577"/>
      <c r="G1022" s="1578"/>
      <c r="H1022" s="1579"/>
    </row>
    <row r="1023" spans="1:8" s="1576" customFormat="1">
      <c r="A1023" s="1577"/>
      <c r="B1023" s="1577"/>
      <c r="C1023" s="1577"/>
      <c r="D1023" s="1577"/>
      <c r="G1023" s="1578"/>
      <c r="H1023" s="1579"/>
    </row>
    <row r="1024" spans="1:8" s="1576" customFormat="1">
      <c r="A1024" s="1577"/>
      <c r="B1024" s="1577"/>
      <c r="C1024" s="1577"/>
      <c r="D1024" s="1577"/>
      <c r="G1024" s="1578"/>
      <c r="H1024" s="1579"/>
    </row>
    <row r="1025" spans="1:8" s="1576" customFormat="1">
      <c r="A1025" s="1577"/>
      <c r="B1025" s="1577"/>
      <c r="C1025" s="1577"/>
      <c r="D1025" s="1577"/>
      <c r="G1025" s="1578"/>
      <c r="H1025" s="1579"/>
    </row>
    <row r="1026" spans="1:8" s="1576" customFormat="1">
      <c r="A1026" s="1577"/>
      <c r="B1026" s="1577"/>
      <c r="C1026" s="1577"/>
      <c r="D1026" s="1577"/>
      <c r="G1026" s="1578"/>
      <c r="H1026" s="1579"/>
    </row>
    <row r="1027" spans="1:8" s="1576" customFormat="1">
      <c r="A1027" s="1577"/>
      <c r="B1027" s="1577"/>
      <c r="C1027" s="1577"/>
      <c r="D1027" s="1577"/>
      <c r="G1027" s="1578"/>
      <c r="H1027" s="1579"/>
    </row>
    <row r="1028" spans="1:8" s="1576" customFormat="1">
      <c r="A1028" s="1577"/>
      <c r="B1028" s="1577"/>
      <c r="C1028" s="1577"/>
      <c r="D1028" s="1577"/>
      <c r="G1028" s="1578"/>
      <c r="H1028" s="1579"/>
    </row>
    <row r="1029" spans="1:8" s="1576" customFormat="1">
      <c r="A1029" s="1577"/>
      <c r="B1029" s="1577"/>
      <c r="C1029" s="1577"/>
      <c r="D1029" s="1577"/>
      <c r="G1029" s="1578"/>
      <c r="H1029" s="1579"/>
    </row>
    <row r="1030" spans="1:8" s="1576" customFormat="1">
      <c r="A1030" s="1577"/>
      <c r="B1030" s="1577"/>
      <c r="C1030" s="1577"/>
      <c r="D1030" s="1577"/>
      <c r="G1030" s="1578"/>
      <c r="H1030" s="1579"/>
    </row>
    <row r="1031" spans="1:8" s="1576" customFormat="1">
      <c r="A1031" s="1577"/>
      <c r="B1031" s="1577"/>
      <c r="C1031" s="1577"/>
      <c r="D1031" s="1577"/>
      <c r="G1031" s="1578"/>
      <c r="H1031" s="1579"/>
    </row>
    <row r="1032" spans="1:8" s="1576" customFormat="1">
      <c r="A1032" s="1577"/>
      <c r="B1032" s="1577"/>
      <c r="C1032" s="1577"/>
      <c r="D1032" s="1577"/>
      <c r="G1032" s="1578"/>
      <c r="H1032" s="1579"/>
    </row>
    <row r="1033" spans="1:8" s="1576" customFormat="1">
      <c r="A1033" s="1577"/>
      <c r="B1033" s="1577"/>
      <c r="C1033" s="1577"/>
      <c r="D1033" s="1577"/>
      <c r="G1033" s="1578"/>
      <c r="H1033" s="1579"/>
    </row>
    <row r="1034" spans="1:8" s="1576" customFormat="1">
      <c r="A1034" s="1577"/>
      <c r="B1034" s="1577"/>
      <c r="C1034" s="1577"/>
      <c r="D1034" s="1577"/>
      <c r="G1034" s="1578"/>
      <c r="H1034" s="1579"/>
    </row>
    <row r="1035" spans="1:8" s="1576" customFormat="1">
      <c r="A1035" s="1577"/>
      <c r="B1035" s="1577"/>
      <c r="C1035" s="1577"/>
      <c r="D1035" s="1577"/>
      <c r="G1035" s="1578"/>
      <c r="H1035" s="1579"/>
    </row>
    <row r="1036" spans="1:8" s="1576" customFormat="1">
      <c r="A1036" s="1577"/>
      <c r="B1036" s="1577"/>
      <c r="C1036" s="1577"/>
      <c r="D1036" s="1577"/>
      <c r="G1036" s="1578"/>
      <c r="H1036" s="1579"/>
    </row>
    <row r="1037" spans="1:8" s="1576" customFormat="1">
      <c r="A1037" s="1577"/>
      <c r="B1037" s="1577"/>
      <c r="C1037" s="1577"/>
      <c r="D1037" s="1577"/>
      <c r="G1037" s="1578"/>
      <c r="H1037" s="1579"/>
    </row>
    <row r="1038" spans="1:8" s="1576" customFormat="1">
      <c r="A1038" s="1577"/>
      <c r="B1038" s="1577"/>
      <c r="C1038" s="1577"/>
      <c r="D1038" s="1577"/>
      <c r="G1038" s="1578"/>
      <c r="H1038" s="1579"/>
    </row>
    <row r="1039" spans="1:8" s="1576" customFormat="1">
      <c r="A1039" s="1577"/>
      <c r="B1039" s="1577"/>
      <c r="C1039" s="1577"/>
      <c r="D1039" s="1577"/>
      <c r="G1039" s="1578"/>
      <c r="H1039" s="1579"/>
    </row>
    <row r="1040" spans="1:8" s="1576" customFormat="1">
      <c r="A1040" s="1577"/>
      <c r="B1040" s="1577"/>
      <c r="C1040" s="1577"/>
      <c r="D1040" s="1577"/>
      <c r="G1040" s="1578"/>
      <c r="H1040" s="1579"/>
    </row>
    <row r="1041" spans="1:8" s="1576" customFormat="1">
      <c r="A1041" s="1577"/>
      <c r="B1041" s="1577"/>
      <c r="C1041" s="1577"/>
      <c r="D1041" s="1577"/>
      <c r="G1041" s="1578"/>
      <c r="H1041" s="1579"/>
    </row>
    <row r="1042" spans="1:8" s="1576" customFormat="1">
      <c r="A1042" s="1577"/>
      <c r="B1042" s="1577"/>
      <c r="C1042" s="1577"/>
      <c r="D1042" s="1577"/>
      <c r="G1042" s="1578"/>
      <c r="H1042" s="1579"/>
    </row>
    <row r="1043" spans="1:8" s="1576" customFormat="1">
      <c r="A1043" s="1577"/>
      <c r="B1043" s="1577"/>
      <c r="C1043" s="1577"/>
      <c r="D1043" s="1577"/>
      <c r="G1043" s="1578"/>
      <c r="H1043" s="1579"/>
    </row>
    <row r="1044" spans="1:8" s="1576" customFormat="1">
      <c r="A1044" s="1577"/>
      <c r="B1044" s="1577"/>
      <c r="C1044" s="1577"/>
      <c r="D1044" s="1577"/>
      <c r="G1044" s="1578"/>
      <c r="H1044" s="1579"/>
    </row>
    <row r="1045" spans="1:8" s="1576" customFormat="1">
      <c r="A1045" s="1577"/>
      <c r="B1045" s="1577"/>
      <c r="C1045" s="1577"/>
      <c r="D1045" s="1577"/>
      <c r="G1045" s="1578"/>
      <c r="H1045" s="1579"/>
    </row>
    <row r="1046" spans="1:8" s="1576" customFormat="1">
      <c r="A1046" s="1577"/>
      <c r="B1046" s="1577"/>
      <c r="C1046" s="1577"/>
      <c r="D1046" s="1577"/>
      <c r="G1046" s="1578"/>
      <c r="H1046" s="1579"/>
    </row>
    <row r="1047" spans="1:8" s="1576" customFormat="1">
      <c r="A1047" s="1577"/>
      <c r="B1047" s="1577"/>
      <c r="C1047" s="1577"/>
      <c r="D1047" s="1577"/>
      <c r="G1047" s="1578"/>
      <c r="H1047" s="1579"/>
    </row>
    <row r="1048" spans="1:8" s="1576" customFormat="1">
      <c r="A1048" s="1577"/>
      <c r="B1048" s="1577"/>
      <c r="C1048" s="1577"/>
      <c r="D1048" s="1577"/>
      <c r="G1048" s="1578"/>
      <c r="H1048" s="1579"/>
    </row>
    <row r="1049" spans="1:8" s="1576" customFormat="1">
      <c r="A1049" s="1577"/>
      <c r="B1049" s="1577"/>
      <c r="C1049" s="1577"/>
      <c r="D1049" s="1577"/>
      <c r="G1049" s="1578"/>
      <c r="H1049" s="1579"/>
    </row>
    <row r="1050" spans="1:8" s="1576" customFormat="1">
      <c r="A1050" s="1577"/>
      <c r="B1050" s="1577"/>
      <c r="C1050" s="1577"/>
      <c r="D1050" s="1577"/>
      <c r="G1050" s="1578"/>
      <c r="H1050" s="1579"/>
    </row>
    <row r="1051" spans="1:8" s="1576" customFormat="1">
      <c r="A1051" s="1577"/>
      <c r="B1051" s="1577"/>
      <c r="C1051" s="1577"/>
      <c r="D1051" s="1577"/>
      <c r="G1051" s="1578"/>
      <c r="H1051" s="1579"/>
    </row>
    <row r="1052" spans="1:8" s="1576" customFormat="1">
      <c r="A1052" s="1577"/>
      <c r="B1052" s="1577"/>
      <c r="C1052" s="1577"/>
      <c r="D1052" s="1577"/>
      <c r="G1052" s="1578"/>
      <c r="H1052" s="1579"/>
    </row>
    <row r="1053" spans="1:8" s="1576" customFormat="1">
      <c r="A1053" s="1577"/>
      <c r="B1053" s="1577"/>
      <c r="C1053" s="1577"/>
      <c r="D1053" s="1577"/>
      <c r="G1053" s="1578"/>
      <c r="H1053" s="1579"/>
    </row>
    <row r="1054" spans="1:8" s="1576" customFormat="1">
      <c r="A1054" s="1577"/>
      <c r="B1054" s="1577"/>
      <c r="C1054" s="1577"/>
      <c r="D1054" s="1577"/>
      <c r="G1054" s="1578"/>
      <c r="H1054" s="1579"/>
    </row>
    <row r="1055" spans="1:8" s="1576" customFormat="1">
      <c r="A1055" s="1577"/>
      <c r="B1055" s="1577"/>
      <c r="C1055" s="1577"/>
      <c r="D1055" s="1577"/>
      <c r="G1055" s="1578"/>
      <c r="H1055" s="1579"/>
    </row>
    <row r="1056" spans="1:8" s="1576" customFormat="1">
      <c r="A1056" s="1577"/>
      <c r="B1056" s="1577"/>
      <c r="C1056" s="1577"/>
      <c r="D1056" s="1577"/>
      <c r="G1056" s="1578"/>
      <c r="H1056" s="1579"/>
    </row>
    <row r="1057" spans="1:8" s="1576" customFormat="1">
      <c r="A1057" s="1577"/>
      <c r="B1057" s="1577"/>
      <c r="C1057" s="1577"/>
      <c r="D1057" s="1577"/>
      <c r="G1057" s="1578"/>
      <c r="H1057" s="1579"/>
    </row>
    <row r="1058" spans="1:8" s="1576" customFormat="1">
      <c r="A1058" s="1577"/>
      <c r="B1058" s="1577"/>
      <c r="C1058" s="1577"/>
      <c r="D1058" s="1577"/>
      <c r="G1058" s="1578"/>
      <c r="H1058" s="1579"/>
    </row>
    <row r="1059" spans="1:8" s="1576" customFormat="1">
      <c r="A1059" s="1577"/>
      <c r="B1059" s="1577"/>
      <c r="C1059" s="1577"/>
      <c r="D1059" s="1577"/>
      <c r="G1059" s="1578"/>
      <c r="H1059" s="1579"/>
    </row>
    <row r="1060" spans="1:8" s="1576" customFormat="1">
      <c r="A1060" s="1577"/>
      <c r="B1060" s="1577"/>
      <c r="C1060" s="1577"/>
      <c r="D1060" s="1577"/>
      <c r="G1060" s="1578"/>
      <c r="H1060" s="1579"/>
    </row>
    <row r="1061" spans="1:8" s="1576" customFormat="1">
      <c r="A1061" s="1577"/>
      <c r="B1061" s="1577"/>
      <c r="C1061" s="1577"/>
      <c r="D1061" s="1577"/>
      <c r="G1061" s="1578"/>
      <c r="H1061" s="1579"/>
    </row>
    <row r="1062" spans="1:8" s="1576" customFormat="1">
      <c r="A1062" s="1577"/>
      <c r="B1062" s="1577"/>
      <c r="C1062" s="1577"/>
      <c r="D1062" s="1577"/>
      <c r="G1062" s="1578"/>
      <c r="H1062" s="1579"/>
    </row>
    <row r="1063" spans="1:8" s="1576" customFormat="1">
      <c r="A1063" s="1577"/>
      <c r="B1063" s="1577"/>
      <c r="C1063" s="1577"/>
      <c r="D1063" s="1577"/>
      <c r="G1063" s="1578"/>
      <c r="H1063" s="1579"/>
    </row>
    <row r="1064" spans="1:8" s="1576" customFormat="1">
      <c r="A1064" s="1577"/>
      <c r="B1064" s="1577"/>
      <c r="C1064" s="1577"/>
      <c r="D1064" s="1577"/>
      <c r="G1064" s="1578"/>
      <c r="H1064" s="1579"/>
    </row>
    <row r="1065" spans="1:8" s="1576" customFormat="1">
      <c r="A1065" s="1577"/>
      <c r="B1065" s="1577"/>
      <c r="C1065" s="1577"/>
      <c r="D1065" s="1577"/>
      <c r="G1065" s="1578"/>
      <c r="H1065" s="1579"/>
    </row>
    <row r="1066" spans="1:8" s="1576" customFormat="1">
      <c r="A1066" s="1577"/>
      <c r="B1066" s="1577"/>
      <c r="C1066" s="1577"/>
      <c r="D1066" s="1577"/>
      <c r="G1066" s="1578"/>
      <c r="H1066" s="1579"/>
    </row>
    <row r="1067" spans="1:8" s="1576" customFormat="1">
      <c r="A1067" s="1577"/>
      <c r="B1067" s="1577"/>
      <c r="C1067" s="1577"/>
      <c r="D1067" s="1577"/>
      <c r="G1067" s="1578"/>
      <c r="H1067" s="1579"/>
    </row>
    <row r="1068" spans="1:8" s="1576" customFormat="1">
      <c r="A1068" s="1577"/>
      <c r="B1068" s="1577"/>
      <c r="C1068" s="1577"/>
      <c r="D1068" s="1577"/>
      <c r="G1068" s="1578"/>
      <c r="H1068" s="1579"/>
    </row>
    <row r="1069" spans="1:8" s="1576" customFormat="1">
      <c r="A1069" s="1577"/>
      <c r="B1069" s="1577"/>
      <c r="C1069" s="1577"/>
      <c r="D1069" s="1577"/>
      <c r="G1069" s="1578"/>
      <c r="H1069" s="1579"/>
    </row>
    <row r="1070" spans="1:8" s="1576" customFormat="1">
      <c r="A1070" s="1577"/>
      <c r="B1070" s="1577"/>
      <c r="C1070" s="1577"/>
      <c r="D1070" s="1577"/>
      <c r="G1070" s="1578"/>
      <c r="H1070" s="1579"/>
    </row>
    <row r="1071" spans="1:8" s="1576" customFormat="1">
      <c r="A1071" s="1577"/>
      <c r="B1071" s="1577"/>
      <c r="C1071" s="1577"/>
      <c r="D1071" s="1577"/>
      <c r="G1071" s="1578"/>
      <c r="H1071" s="1579"/>
    </row>
    <row r="1072" spans="1:8" s="1576" customFormat="1">
      <c r="A1072" s="1577"/>
      <c r="B1072" s="1577"/>
      <c r="C1072" s="1577"/>
      <c r="D1072" s="1577"/>
      <c r="G1072" s="1578"/>
      <c r="H1072" s="1579"/>
    </row>
    <row r="1073" spans="1:8" s="1576" customFormat="1">
      <c r="A1073" s="1577"/>
      <c r="B1073" s="1577"/>
      <c r="C1073" s="1577"/>
      <c r="D1073" s="1577"/>
      <c r="G1073" s="1578"/>
      <c r="H1073" s="1579"/>
    </row>
    <row r="1074" spans="1:8" s="1576" customFormat="1">
      <c r="A1074" s="1577"/>
      <c r="B1074" s="1577"/>
      <c r="C1074" s="1577"/>
      <c r="D1074" s="1577"/>
      <c r="G1074" s="1578"/>
      <c r="H1074" s="1579"/>
    </row>
    <row r="1075" spans="1:8" s="1576" customFormat="1">
      <c r="A1075" s="1577"/>
      <c r="B1075" s="1577"/>
      <c r="C1075" s="1577"/>
      <c r="D1075" s="1577"/>
      <c r="G1075" s="1578"/>
      <c r="H1075" s="1579"/>
    </row>
    <row r="1076" spans="1:8" s="1576" customFormat="1">
      <c r="A1076" s="1577"/>
      <c r="B1076" s="1577"/>
      <c r="C1076" s="1577"/>
      <c r="D1076" s="1577"/>
      <c r="G1076" s="1578"/>
      <c r="H1076" s="1579"/>
    </row>
    <row r="1077" spans="1:8" s="1576" customFormat="1">
      <c r="A1077" s="1577"/>
      <c r="B1077" s="1577"/>
      <c r="C1077" s="1577"/>
      <c r="D1077" s="1577"/>
      <c r="G1077" s="1578"/>
      <c r="H1077" s="1579"/>
    </row>
    <row r="1078" spans="1:8" s="1576" customFormat="1">
      <c r="A1078" s="1577"/>
      <c r="B1078" s="1577"/>
      <c r="C1078" s="1577"/>
      <c r="D1078" s="1577"/>
      <c r="G1078" s="1578"/>
      <c r="H1078" s="1579"/>
    </row>
    <row r="1079" spans="1:8" s="1576" customFormat="1">
      <c r="A1079" s="1577"/>
      <c r="B1079" s="1577"/>
      <c r="C1079" s="1577"/>
      <c r="D1079" s="1577"/>
      <c r="G1079" s="1578"/>
      <c r="H1079" s="1579"/>
    </row>
    <row r="1080" spans="1:8" s="1576" customFormat="1">
      <c r="A1080" s="1577"/>
      <c r="B1080" s="1577"/>
      <c r="C1080" s="1577"/>
      <c r="D1080" s="1577"/>
      <c r="G1080" s="1578"/>
      <c r="H1080" s="1579"/>
    </row>
    <row r="1081" spans="1:8" s="1576" customFormat="1">
      <c r="A1081" s="1577"/>
      <c r="B1081" s="1577"/>
      <c r="C1081" s="1577"/>
      <c r="D1081" s="1577"/>
      <c r="G1081" s="1578"/>
      <c r="H1081" s="1579"/>
    </row>
    <row r="1082" spans="1:8" s="1576" customFormat="1">
      <c r="A1082" s="1577"/>
      <c r="B1082" s="1577"/>
      <c r="C1082" s="1577"/>
      <c r="D1082" s="1577"/>
      <c r="G1082" s="1578"/>
      <c r="H1082" s="1579"/>
    </row>
    <row r="1083" spans="1:8" s="1576" customFormat="1">
      <c r="A1083" s="1577"/>
      <c r="B1083" s="1577"/>
      <c r="C1083" s="1577"/>
      <c r="D1083" s="1577"/>
      <c r="G1083" s="1578"/>
      <c r="H1083" s="1579"/>
    </row>
    <row r="1084" spans="1:8" s="1576" customFormat="1">
      <c r="A1084" s="1577"/>
      <c r="B1084" s="1577"/>
      <c r="C1084" s="1577"/>
      <c r="D1084" s="1577"/>
      <c r="G1084" s="1578"/>
      <c r="H1084" s="1579"/>
    </row>
    <row r="1085" spans="1:8" s="1576" customFormat="1">
      <c r="A1085" s="1577"/>
      <c r="B1085" s="1577"/>
      <c r="C1085" s="1577"/>
      <c r="D1085" s="1577"/>
      <c r="G1085" s="1578"/>
      <c r="H1085" s="1579"/>
    </row>
    <row r="1086" spans="1:8" s="1576" customFormat="1">
      <c r="A1086" s="1577"/>
      <c r="B1086" s="1577"/>
      <c r="C1086" s="1577"/>
      <c r="D1086" s="1577"/>
      <c r="G1086" s="1578"/>
      <c r="H1086" s="1579"/>
    </row>
    <row r="1087" spans="1:8" s="1576" customFormat="1">
      <c r="A1087" s="1577"/>
      <c r="B1087" s="1577"/>
      <c r="C1087" s="1577"/>
      <c r="D1087" s="1577"/>
      <c r="G1087" s="1578"/>
      <c r="H1087" s="1579"/>
    </row>
    <row r="1088" spans="1:8" s="1576" customFormat="1">
      <c r="A1088" s="1577"/>
      <c r="B1088" s="1577"/>
      <c r="C1088" s="1577"/>
      <c r="D1088" s="1577"/>
      <c r="G1088" s="1578"/>
      <c r="H1088" s="1579"/>
    </row>
    <row r="1089" spans="1:8" s="1576" customFormat="1">
      <c r="A1089" s="1577"/>
      <c r="B1089" s="1577"/>
      <c r="C1089" s="1577"/>
      <c r="D1089" s="1577"/>
      <c r="G1089" s="1578"/>
      <c r="H1089" s="1579"/>
    </row>
    <row r="1090" spans="1:8" s="1576" customFormat="1">
      <c r="A1090" s="1577"/>
      <c r="B1090" s="1577"/>
      <c r="C1090" s="1577"/>
      <c r="D1090" s="1577"/>
      <c r="G1090" s="1578"/>
      <c r="H1090" s="1579"/>
    </row>
    <row r="1091" spans="1:8" s="1576" customFormat="1">
      <c r="A1091" s="1577"/>
      <c r="B1091" s="1577"/>
      <c r="C1091" s="1577"/>
      <c r="D1091" s="1577"/>
      <c r="G1091" s="1578"/>
      <c r="H1091" s="1579"/>
    </row>
    <row r="1092" spans="1:8" s="1576" customFormat="1">
      <c r="A1092" s="1577"/>
      <c r="B1092" s="1577"/>
      <c r="C1092" s="1577"/>
      <c r="D1092" s="1577"/>
      <c r="G1092" s="1578"/>
      <c r="H1092" s="1579"/>
    </row>
    <row r="1093" spans="1:8" s="1576" customFormat="1">
      <c r="A1093" s="1577"/>
      <c r="B1093" s="1577"/>
      <c r="C1093" s="1577"/>
      <c r="D1093" s="1577"/>
      <c r="G1093" s="1578"/>
      <c r="H1093" s="1579"/>
    </row>
    <row r="1094" spans="1:8" s="1576" customFormat="1">
      <c r="A1094" s="1577"/>
      <c r="B1094" s="1577"/>
      <c r="C1094" s="1577"/>
      <c r="D1094" s="1577"/>
      <c r="G1094" s="1578"/>
      <c r="H1094" s="1579"/>
    </row>
    <row r="1095" spans="1:8" s="1576" customFormat="1">
      <c r="A1095" s="1577"/>
      <c r="B1095" s="1577"/>
      <c r="C1095" s="1577"/>
      <c r="D1095" s="1577"/>
      <c r="G1095" s="1578"/>
      <c r="H1095" s="1579"/>
    </row>
    <row r="1096" spans="1:8" s="1576" customFormat="1">
      <c r="A1096" s="1577"/>
      <c r="B1096" s="1577"/>
      <c r="C1096" s="1577"/>
      <c r="D1096" s="1577"/>
      <c r="G1096" s="1578"/>
      <c r="H1096" s="1579"/>
    </row>
    <row r="1097" spans="1:8" s="1576" customFormat="1">
      <c r="A1097" s="1577"/>
      <c r="B1097" s="1577"/>
      <c r="C1097" s="1577"/>
      <c r="D1097" s="1577"/>
      <c r="G1097" s="1578"/>
      <c r="H1097" s="1579"/>
    </row>
    <row r="1098" spans="1:8" s="1576" customFormat="1">
      <c r="A1098" s="1577"/>
      <c r="B1098" s="1577"/>
      <c r="C1098" s="1577"/>
      <c r="D1098" s="1577"/>
      <c r="G1098" s="1578"/>
      <c r="H1098" s="1579"/>
    </row>
    <row r="1099" spans="1:8" s="1576" customFormat="1">
      <c r="A1099" s="1577"/>
      <c r="B1099" s="1577"/>
      <c r="C1099" s="1577"/>
      <c r="D1099" s="1577"/>
      <c r="G1099" s="1578"/>
      <c r="H1099" s="1579"/>
    </row>
    <row r="1100" spans="1:8" s="1576" customFormat="1">
      <c r="A1100" s="1577"/>
      <c r="B1100" s="1577"/>
      <c r="C1100" s="1577"/>
      <c r="D1100" s="1577"/>
      <c r="G1100" s="1578"/>
      <c r="H1100" s="1579"/>
    </row>
    <row r="1101" spans="1:8" s="1576" customFormat="1">
      <c r="A1101" s="1577"/>
      <c r="B1101" s="1577"/>
      <c r="C1101" s="1577"/>
      <c r="D1101" s="1577"/>
      <c r="G1101" s="1578"/>
      <c r="H1101" s="1579"/>
    </row>
    <row r="1102" spans="1:8" s="1576" customFormat="1">
      <c r="A1102" s="1577"/>
      <c r="B1102" s="1577"/>
      <c r="C1102" s="1577"/>
      <c r="D1102" s="1577"/>
      <c r="G1102" s="1578"/>
      <c r="H1102" s="1579"/>
    </row>
    <row r="1103" spans="1:8" s="1576" customFormat="1">
      <c r="A1103" s="1577"/>
      <c r="B1103" s="1577"/>
      <c r="C1103" s="1577"/>
      <c r="D1103" s="1577"/>
      <c r="G1103" s="1578"/>
      <c r="H1103" s="1579"/>
    </row>
    <row r="1104" spans="1:8" s="1576" customFormat="1">
      <c r="A1104" s="1577"/>
      <c r="B1104" s="1577"/>
      <c r="C1104" s="1577"/>
      <c r="D1104" s="1577"/>
      <c r="G1104" s="1578"/>
      <c r="H1104" s="1579"/>
    </row>
    <row r="1105" spans="1:8" s="1576" customFormat="1">
      <c r="A1105" s="1577"/>
      <c r="B1105" s="1577"/>
      <c r="C1105" s="1577"/>
      <c r="D1105" s="1577"/>
      <c r="G1105" s="1578"/>
      <c r="H1105" s="1579"/>
    </row>
    <row r="1106" spans="1:8" s="1576" customFormat="1">
      <c r="A1106" s="1577"/>
      <c r="B1106" s="1577"/>
      <c r="C1106" s="1577"/>
      <c r="D1106" s="1577"/>
      <c r="G1106" s="1578"/>
      <c r="H1106" s="1579"/>
    </row>
    <row r="1107" spans="1:8" s="1576" customFormat="1">
      <c r="A1107" s="1577"/>
      <c r="B1107" s="1577"/>
      <c r="C1107" s="1577"/>
      <c r="D1107" s="1577"/>
      <c r="G1107" s="1578"/>
      <c r="H1107" s="1579"/>
    </row>
    <row r="1108" spans="1:8" s="1576" customFormat="1">
      <c r="A1108" s="1577"/>
      <c r="B1108" s="1577"/>
      <c r="C1108" s="1577"/>
      <c r="D1108" s="1577"/>
      <c r="G1108" s="1578"/>
      <c r="H1108" s="1579"/>
    </row>
    <row r="1109" spans="1:8" s="1576" customFormat="1">
      <c r="A1109" s="1577"/>
      <c r="B1109" s="1577"/>
      <c r="C1109" s="1577"/>
      <c r="D1109" s="1577"/>
      <c r="G1109" s="1578"/>
      <c r="H1109" s="1579"/>
    </row>
    <row r="1110" spans="1:8" s="1576" customFormat="1">
      <c r="A1110" s="1577"/>
      <c r="B1110" s="1577"/>
      <c r="C1110" s="1577"/>
      <c r="D1110" s="1577"/>
      <c r="G1110" s="1578"/>
      <c r="H1110" s="1579"/>
    </row>
    <row r="1111" spans="1:8" s="1576" customFormat="1">
      <c r="A1111" s="1577"/>
      <c r="B1111" s="1577"/>
      <c r="C1111" s="1577"/>
      <c r="D1111" s="1577"/>
      <c r="G1111" s="1578"/>
      <c r="H1111" s="1579"/>
    </row>
    <row r="1112" spans="1:8" s="1576" customFormat="1">
      <c r="A1112" s="1577"/>
      <c r="B1112" s="1577"/>
      <c r="C1112" s="1577"/>
      <c r="D1112" s="1577"/>
      <c r="G1112" s="1578"/>
      <c r="H1112" s="1579"/>
    </row>
    <row r="1113" spans="1:8" s="1576" customFormat="1">
      <c r="A1113" s="1577"/>
      <c r="B1113" s="1577"/>
      <c r="C1113" s="1577"/>
      <c r="D1113" s="1577"/>
      <c r="G1113" s="1578"/>
      <c r="H1113" s="1579"/>
    </row>
    <row r="1114" spans="1:8" s="1576" customFormat="1">
      <c r="A1114" s="1577"/>
      <c r="B1114" s="1577"/>
      <c r="C1114" s="1577"/>
      <c r="D1114" s="1577"/>
      <c r="G1114" s="1578"/>
      <c r="H1114" s="1579"/>
    </row>
    <row r="1115" spans="1:8" s="1576" customFormat="1">
      <c r="A1115" s="1577"/>
      <c r="B1115" s="1577"/>
      <c r="C1115" s="1577"/>
      <c r="D1115" s="1577"/>
      <c r="G1115" s="1578"/>
      <c r="H1115" s="1579"/>
    </row>
    <row r="1116" spans="1:8" s="1576" customFormat="1">
      <c r="A1116" s="1577"/>
      <c r="B1116" s="1577"/>
      <c r="C1116" s="1577"/>
      <c r="D1116" s="1577"/>
      <c r="G1116" s="1578"/>
      <c r="H1116" s="1579"/>
    </row>
    <row r="1117" spans="1:8" s="1576" customFormat="1">
      <c r="A1117" s="1577"/>
      <c r="B1117" s="1577"/>
      <c r="C1117" s="1577"/>
      <c r="D1117" s="1577"/>
      <c r="G1117" s="1578"/>
      <c r="H1117" s="1579"/>
    </row>
    <row r="1118" spans="1:8" s="1576" customFormat="1">
      <c r="A1118" s="1577"/>
      <c r="B1118" s="1577"/>
      <c r="C1118" s="1577"/>
      <c r="D1118" s="1577"/>
      <c r="G1118" s="1578"/>
      <c r="H1118" s="1579"/>
    </row>
    <row r="1119" spans="1:8" s="1576" customFormat="1">
      <c r="A1119" s="1577"/>
      <c r="B1119" s="1577"/>
      <c r="C1119" s="1577"/>
      <c r="D1119" s="1577"/>
      <c r="G1119" s="1578"/>
      <c r="H1119" s="1579"/>
    </row>
    <row r="1120" spans="1:8" s="1576" customFormat="1">
      <c r="A1120" s="1577"/>
      <c r="B1120" s="1577"/>
      <c r="C1120" s="1577"/>
      <c r="D1120" s="1577"/>
      <c r="G1120" s="1578"/>
      <c r="H1120" s="1579"/>
    </row>
    <row r="1121" spans="1:8" s="1576" customFormat="1">
      <c r="A1121" s="1577"/>
      <c r="B1121" s="1577"/>
      <c r="C1121" s="1577"/>
      <c r="D1121" s="1577"/>
      <c r="G1121" s="1578"/>
      <c r="H1121" s="1579"/>
    </row>
    <row r="1122" spans="1:8" s="1576" customFormat="1">
      <c r="A1122" s="1577"/>
      <c r="B1122" s="1577"/>
      <c r="C1122" s="1577"/>
      <c r="D1122" s="1577"/>
      <c r="G1122" s="1578"/>
      <c r="H1122" s="1579"/>
    </row>
    <row r="1123" spans="1:8" s="1576" customFormat="1">
      <c r="A1123" s="1577"/>
      <c r="B1123" s="1577"/>
      <c r="C1123" s="1577"/>
      <c r="D1123" s="1577"/>
      <c r="G1123" s="1578"/>
      <c r="H1123" s="1579"/>
    </row>
    <row r="1124" spans="1:8" s="1576" customFormat="1">
      <c r="A1124" s="1577"/>
      <c r="B1124" s="1577"/>
      <c r="C1124" s="1577"/>
      <c r="D1124" s="1577"/>
      <c r="G1124" s="1578"/>
      <c r="H1124" s="1579"/>
    </row>
    <row r="1125" spans="1:8" s="1576" customFormat="1">
      <c r="A1125" s="1577"/>
      <c r="B1125" s="1577"/>
      <c r="C1125" s="1577"/>
      <c r="D1125" s="1577"/>
      <c r="G1125" s="1578"/>
      <c r="H1125" s="1579"/>
    </row>
    <row r="1126" spans="1:8" s="1576" customFormat="1">
      <c r="A1126" s="1577"/>
      <c r="B1126" s="1577"/>
      <c r="C1126" s="1577"/>
      <c r="D1126" s="1577"/>
      <c r="G1126" s="1578"/>
      <c r="H1126" s="1579"/>
    </row>
    <row r="1127" spans="1:8" s="1576" customFormat="1">
      <c r="A1127" s="1577"/>
      <c r="B1127" s="1577"/>
      <c r="C1127" s="1577"/>
      <c r="D1127" s="1577"/>
      <c r="G1127" s="1578"/>
      <c r="H1127" s="1579"/>
    </row>
    <row r="1128" spans="1:8" s="1576" customFormat="1">
      <c r="A1128" s="1577"/>
      <c r="B1128" s="1577"/>
      <c r="C1128" s="1577"/>
      <c r="D1128" s="1577"/>
      <c r="G1128" s="1578"/>
      <c r="H1128" s="1579"/>
    </row>
    <row r="1129" spans="1:8" s="1576" customFormat="1">
      <c r="A1129" s="1577"/>
      <c r="B1129" s="1577"/>
      <c r="C1129" s="1577"/>
      <c r="D1129" s="1577"/>
      <c r="G1129" s="1578"/>
      <c r="H1129" s="1579"/>
    </row>
    <row r="1130" spans="1:8" s="1576" customFormat="1">
      <c r="A1130" s="1577"/>
      <c r="B1130" s="1577"/>
      <c r="C1130" s="1577"/>
      <c r="D1130" s="1577"/>
      <c r="G1130" s="1578"/>
      <c r="H1130" s="1579"/>
    </row>
    <row r="1131" spans="1:8" s="1576" customFormat="1">
      <c r="A1131" s="1577"/>
      <c r="B1131" s="1577"/>
      <c r="C1131" s="1577"/>
      <c r="D1131" s="1577"/>
      <c r="G1131" s="1578"/>
      <c r="H1131" s="1579"/>
    </row>
    <row r="1132" spans="1:8" s="1576" customFormat="1">
      <c r="A1132" s="1577"/>
      <c r="B1132" s="1577"/>
      <c r="C1132" s="1577"/>
      <c r="D1132" s="1577"/>
      <c r="G1132" s="1578"/>
      <c r="H1132" s="1579"/>
    </row>
    <row r="1133" spans="1:8" s="1576" customFormat="1">
      <c r="A1133" s="1577"/>
      <c r="B1133" s="1577"/>
      <c r="C1133" s="1577"/>
      <c r="D1133" s="1577"/>
      <c r="G1133" s="1578"/>
      <c r="H1133" s="1579"/>
    </row>
    <row r="1134" spans="1:8" s="1576" customFormat="1">
      <c r="A1134" s="1577"/>
      <c r="B1134" s="1577"/>
      <c r="C1134" s="1577"/>
      <c r="D1134" s="1577"/>
      <c r="G1134" s="1578"/>
      <c r="H1134" s="1579"/>
    </row>
    <row r="1135" spans="1:8" s="1576" customFormat="1">
      <c r="A1135" s="1577"/>
      <c r="B1135" s="1577"/>
      <c r="C1135" s="1577"/>
      <c r="D1135" s="1577"/>
      <c r="G1135" s="1578"/>
      <c r="H1135" s="1579"/>
    </row>
    <row r="1136" spans="1:8" s="1576" customFormat="1">
      <c r="A1136" s="1577"/>
      <c r="B1136" s="1577"/>
      <c r="C1136" s="1577"/>
      <c r="D1136" s="1577"/>
      <c r="G1136" s="1578"/>
      <c r="H1136" s="1579"/>
    </row>
    <row r="1137" spans="1:8" s="1576" customFormat="1">
      <c r="A1137" s="1577"/>
      <c r="B1137" s="1577"/>
      <c r="C1137" s="1577"/>
      <c r="D1137" s="1577"/>
      <c r="G1137" s="1578"/>
      <c r="H1137" s="1579"/>
    </row>
    <row r="1138" spans="1:8" s="1576" customFormat="1">
      <c r="A1138" s="1577"/>
      <c r="B1138" s="1577"/>
      <c r="C1138" s="1577"/>
      <c r="D1138" s="1577"/>
      <c r="G1138" s="1578"/>
      <c r="H1138" s="1579"/>
    </row>
    <row r="1139" spans="1:8" s="1576" customFormat="1">
      <c r="A1139" s="1577"/>
      <c r="B1139" s="1577"/>
      <c r="C1139" s="1577"/>
      <c r="D1139" s="1577"/>
      <c r="G1139" s="1578"/>
      <c r="H1139" s="1579"/>
    </row>
    <row r="1140" spans="1:8" s="1576" customFormat="1">
      <c r="A1140" s="1577"/>
      <c r="B1140" s="1577"/>
      <c r="C1140" s="1577"/>
      <c r="D1140" s="1577"/>
      <c r="G1140" s="1578"/>
      <c r="H1140" s="1579"/>
    </row>
    <row r="1141" spans="1:8" s="1576" customFormat="1">
      <c r="A1141" s="1577"/>
      <c r="B1141" s="1577"/>
      <c r="C1141" s="1577"/>
      <c r="D1141" s="1577"/>
      <c r="G1141" s="1578"/>
      <c r="H1141" s="1579"/>
    </row>
    <row r="1142" spans="1:8" s="1576" customFormat="1">
      <c r="A1142" s="1577"/>
      <c r="B1142" s="1577"/>
      <c r="C1142" s="1577"/>
      <c r="D1142" s="1577"/>
      <c r="G1142" s="1578"/>
      <c r="H1142" s="1579"/>
    </row>
    <row r="1143" spans="1:8" s="1576" customFormat="1">
      <c r="A1143" s="1577"/>
      <c r="B1143" s="1577"/>
      <c r="C1143" s="1577"/>
      <c r="D1143" s="1577"/>
      <c r="G1143" s="1578"/>
      <c r="H1143" s="1579"/>
    </row>
    <row r="1144" spans="1:8" s="1576" customFormat="1">
      <c r="A1144" s="1577"/>
      <c r="B1144" s="1577"/>
      <c r="C1144" s="1577"/>
      <c r="D1144" s="1577"/>
      <c r="G1144" s="1578"/>
      <c r="H1144" s="1579"/>
    </row>
    <row r="1145" spans="1:8" s="1576" customFormat="1">
      <c r="A1145" s="1577"/>
      <c r="B1145" s="1577"/>
      <c r="C1145" s="1577"/>
      <c r="D1145" s="1577"/>
      <c r="G1145" s="1578"/>
      <c r="H1145" s="1579"/>
    </row>
    <row r="1146" spans="1:8" s="1576" customFormat="1">
      <c r="A1146" s="1577"/>
      <c r="B1146" s="1577"/>
      <c r="C1146" s="1577"/>
      <c r="D1146" s="1577"/>
      <c r="G1146" s="1578"/>
      <c r="H1146" s="1579"/>
    </row>
    <row r="1147" spans="1:8" s="1576" customFormat="1">
      <c r="A1147" s="1577"/>
      <c r="B1147" s="1577"/>
      <c r="C1147" s="1577"/>
      <c r="D1147" s="1577"/>
      <c r="G1147" s="1578"/>
      <c r="H1147" s="1579"/>
    </row>
    <row r="1148" spans="1:8" s="1576" customFormat="1">
      <c r="A1148" s="1577"/>
      <c r="B1148" s="1577"/>
      <c r="C1148" s="1577"/>
      <c r="D1148" s="1577"/>
      <c r="G1148" s="1578"/>
      <c r="H1148" s="1579"/>
    </row>
    <row r="1149" spans="1:8" s="1576" customFormat="1">
      <c r="A1149" s="1577"/>
      <c r="B1149" s="1577"/>
      <c r="C1149" s="1577"/>
      <c r="D1149" s="1577"/>
      <c r="G1149" s="1578"/>
      <c r="H1149" s="1579"/>
    </row>
    <row r="1150" spans="1:8" s="1576" customFormat="1">
      <c r="A1150" s="1577"/>
      <c r="B1150" s="1577"/>
      <c r="C1150" s="1577"/>
      <c r="D1150" s="1577"/>
      <c r="G1150" s="1578"/>
      <c r="H1150" s="1579"/>
    </row>
    <row r="1151" spans="1:8" s="1576" customFormat="1">
      <c r="A1151" s="1577"/>
      <c r="B1151" s="1577"/>
      <c r="C1151" s="1577"/>
      <c r="D1151" s="1577"/>
      <c r="G1151" s="1578"/>
      <c r="H1151" s="1579"/>
    </row>
    <row r="1152" spans="1:8" s="1576" customFormat="1">
      <c r="A1152" s="1577"/>
      <c r="B1152" s="1577"/>
      <c r="C1152" s="1577"/>
      <c r="D1152" s="1577"/>
      <c r="G1152" s="1578"/>
      <c r="H1152" s="1579"/>
    </row>
    <row r="1153" spans="1:8" s="1576" customFormat="1">
      <c r="A1153" s="1577"/>
      <c r="B1153" s="1577"/>
      <c r="C1153" s="1577"/>
      <c r="D1153" s="1577"/>
      <c r="G1153" s="1578"/>
      <c r="H1153" s="1579"/>
    </row>
    <row r="1154" spans="1:8" s="1576" customFormat="1">
      <c r="A1154" s="1577"/>
      <c r="B1154" s="1577"/>
      <c r="C1154" s="1577"/>
      <c r="D1154" s="1577"/>
      <c r="G1154" s="1578"/>
      <c r="H1154" s="1579"/>
    </row>
    <row r="1155" spans="1:8" s="1576" customFormat="1">
      <c r="A1155" s="1577"/>
      <c r="B1155" s="1577"/>
      <c r="C1155" s="1577"/>
      <c r="D1155" s="1577"/>
      <c r="G1155" s="1578"/>
      <c r="H1155" s="1579"/>
    </row>
    <row r="1156" spans="1:8" s="1576" customFormat="1">
      <c r="A1156" s="1577"/>
      <c r="B1156" s="1577"/>
      <c r="C1156" s="1577"/>
      <c r="D1156" s="1577"/>
      <c r="G1156" s="1578"/>
      <c r="H1156" s="1579"/>
    </row>
    <row r="1157" spans="1:8" s="1576" customFormat="1">
      <c r="A1157" s="1577"/>
      <c r="B1157" s="1577"/>
      <c r="C1157" s="1577"/>
      <c r="D1157" s="1577"/>
      <c r="G1157" s="1578"/>
      <c r="H1157" s="1579"/>
    </row>
    <row r="1158" spans="1:8" s="1576" customFormat="1">
      <c r="A1158" s="1577"/>
      <c r="B1158" s="1577"/>
      <c r="C1158" s="1577"/>
      <c r="D1158" s="1577"/>
      <c r="G1158" s="1578"/>
      <c r="H1158" s="1579"/>
    </row>
    <row r="1159" spans="1:8" s="1576" customFormat="1">
      <c r="A1159" s="1577"/>
      <c r="B1159" s="1577"/>
      <c r="C1159" s="1577"/>
      <c r="D1159" s="1577"/>
      <c r="G1159" s="1578"/>
      <c r="H1159" s="1579"/>
    </row>
    <row r="1160" spans="1:8" s="1576" customFormat="1">
      <c r="A1160" s="1577"/>
      <c r="B1160" s="1577"/>
      <c r="C1160" s="1577"/>
      <c r="D1160" s="1577"/>
      <c r="G1160" s="1578"/>
      <c r="H1160" s="1579"/>
    </row>
    <row r="1161" spans="1:8" s="1576" customFormat="1">
      <c r="A1161" s="1577"/>
      <c r="B1161" s="1577"/>
      <c r="C1161" s="1577"/>
      <c r="D1161" s="1577"/>
      <c r="G1161" s="1578"/>
      <c r="H1161" s="1579"/>
    </row>
    <row r="1162" spans="1:8" s="1576" customFormat="1">
      <c r="A1162" s="1577"/>
      <c r="B1162" s="1577"/>
      <c r="C1162" s="1577"/>
      <c r="D1162" s="1577"/>
      <c r="G1162" s="1578"/>
      <c r="H1162" s="1579"/>
    </row>
    <row r="1163" spans="1:8" s="1576" customFormat="1">
      <c r="A1163" s="1577"/>
      <c r="B1163" s="1577"/>
      <c r="C1163" s="1577"/>
      <c r="D1163" s="1577"/>
      <c r="G1163" s="1578"/>
      <c r="H1163" s="1579"/>
    </row>
    <row r="1164" spans="1:8" s="1576" customFormat="1">
      <c r="A1164" s="1577"/>
      <c r="B1164" s="1577"/>
      <c r="C1164" s="1577"/>
      <c r="D1164" s="1577"/>
      <c r="G1164" s="1578"/>
      <c r="H1164" s="1579"/>
    </row>
    <row r="1165" spans="1:8" s="1576" customFormat="1">
      <c r="A1165" s="1577"/>
      <c r="B1165" s="1577"/>
      <c r="C1165" s="1577"/>
      <c r="D1165" s="1577"/>
      <c r="G1165" s="1578"/>
      <c r="H1165" s="1579"/>
    </row>
    <row r="1166" spans="1:8" s="1576" customFormat="1">
      <c r="A1166" s="1577"/>
      <c r="B1166" s="1577"/>
      <c r="C1166" s="1577"/>
      <c r="D1166" s="1577"/>
      <c r="G1166" s="1578"/>
      <c r="H1166" s="1579"/>
    </row>
    <row r="1167" spans="1:8" s="1576" customFormat="1">
      <c r="A1167" s="1577"/>
      <c r="B1167" s="1577"/>
      <c r="C1167" s="1577"/>
      <c r="D1167" s="1577"/>
      <c r="G1167" s="1578"/>
      <c r="H1167" s="1579"/>
    </row>
    <row r="1168" spans="1:8" s="1576" customFormat="1">
      <c r="A1168" s="1577"/>
      <c r="B1168" s="1577"/>
      <c r="C1168" s="1577"/>
      <c r="D1168" s="1577"/>
      <c r="G1168" s="1578"/>
      <c r="H1168" s="1579"/>
    </row>
    <row r="1169" spans="1:8" s="1576" customFormat="1">
      <c r="A1169" s="1577"/>
      <c r="B1169" s="1577"/>
      <c r="C1169" s="1577"/>
      <c r="D1169" s="1577"/>
      <c r="G1169" s="1578"/>
      <c r="H1169" s="1579"/>
    </row>
    <row r="1170" spans="1:8" s="1576" customFormat="1">
      <c r="A1170" s="1577"/>
      <c r="B1170" s="1577"/>
      <c r="C1170" s="1577"/>
      <c r="D1170" s="1577"/>
      <c r="G1170" s="1578"/>
      <c r="H1170" s="1579"/>
    </row>
    <row r="1171" spans="1:8" s="1576" customFormat="1">
      <c r="A1171" s="1577"/>
      <c r="B1171" s="1577"/>
      <c r="C1171" s="1577"/>
      <c r="D1171" s="1577"/>
      <c r="G1171" s="1578"/>
      <c r="H1171" s="1579"/>
    </row>
    <row r="1172" spans="1:8" s="1576" customFormat="1">
      <c r="A1172" s="1577"/>
      <c r="B1172" s="1577"/>
      <c r="C1172" s="1577"/>
      <c r="D1172" s="1577"/>
      <c r="G1172" s="1578"/>
      <c r="H1172" s="1579"/>
    </row>
    <row r="1173" spans="1:8" s="1576" customFormat="1">
      <c r="A1173" s="1577"/>
      <c r="B1173" s="1577"/>
      <c r="C1173" s="1577"/>
      <c r="D1173" s="1577"/>
      <c r="G1173" s="1578"/>
      <c r="H1173" s="1579"/>
    </row>
    <row r="1174" spans="1:8" s="1576" customFormat="1">
      <c r="A1174" s="1577"/>
      <c r="B1174" s="1577"/>
      <c r="C1174" s="1577"/>
      <c r="D1174" s="1577"/>
      <c r="G1174" s="1578"/>
      <c r="H1174" s="1579"/>
    </row>
    <row r="1175" spans="1:8" s="1576" customFormat="1">
      <c r="A1175" s="1577"/>
      <c r="B1175" s="1577"/>
      <c r="C1175" s="1577"/>
      <c r="D1175" s="1577"/>
      <c r="G1175" s="1578"/>
      <c r="H1175" s="1579"/>
    </row>
    <row r="1176" spans="1:8" s="1576" customFormat="1">
      <c r="A1176" s="1577"/>
      <c r="B1176" s="1577"/>
      <c r="C1176" s="1577"/>
      <c r="D1176" s="1577"/>
      <c r="G1176" s="1578"/>
      <c r="H1176" s="1579"/>
    </row>
    <row r="1177" spans="1:8" s="1576" customFormat="1">
      <c r="A1177" s="1577"/>
      <c r="B1177" s="1577"/>
      <c r="C1177" s="1577"/>
      <c r="D1177" s="1577"/>
      <c r="G1177" s="1578"/>
      <c r="H1177" s="1579"/>
    </row>
    <row r="1178" spans="1:8" s="1576" customFormat="1">
      <c r="A1178" s="1577"/>
      <c r="B1178" s="1577"/>
      <c r="C1178" s="1577"/>
      <c r="D1178" s="1577"/>
      <c r="G1178" s="1578"/>
      <c r="H1178" s="1579"/>
    </row>
    <row r="1179" spans="1:8" s="1576" customFormat="1">
      <c r="A1179" s="1577"/>
      <c r="B1179" s="1577"/>
      <c r="C1179" s="1577"/>
      <c r="D1179" s="1577"/>
      <c r="G1179" s="1578"/>
      <c r="H1179" s="1579"/>
    </row>
    <row r="1180" spans="1:8" s="1576" customFormat="1">
      <c r="A1180" s="1577"/>
      <c r="B1180" s="1577"/>
      <c r="C1180" s="1577"/>
      <c r="D1180" s="1577"/>
      <c r="G1180" s="1578"/>
      <c r="H1180" s="1579"/>
    </row>
    <row r="1181" spans="1:8" s="1576" customFormat="1">
      <c r="A1181" s="1577"/>
      <c r="B1181" s="1577"/>
      <c r="C1181" s="1577"/>
      <c r="D1181" s="1577"/>
      <c r="G1181" s="1578"/>
      <c r="H1181" s="1579"/>
    </row>
    <row r="1182" spans="1:8" s="1576" customFormat="1">
      <c r="A1182" s="1577"/>
      <c r="B1182" s="1577"/>
      <c r="C1182" s="1577"/>
      <c r="D1182" s="1577"/>
      <c r="G1182" s="1578"/>
      <c r="H1182" s="1579"/>
    </row>
    <row r="1183" spans="1:8" s="1576" customFormat="1">
      <c r="A1183" s="1577"/>
      <c r="B1183" s="1577"/>
      <c r="C1183" s="1577"/>
      <c r="D1183" s="1577"/>
      <c r="G1183" s="1578"/>
      <c r="H1183" s="1579"/>
    </row>
    <row r="1184" spans="1:8" s="1576" customFormat="1">
      <c r="A1184" s="1577"/>
      <c r="B1184" s="1577"/>
      <c r="C1184" s="1577"/>
      <c r="D1184" s="1577"/>
      <c r="G1184" s="1578"/>
      <c r="H1184" s="1579"/>
    </row>
    <row r="1185" spans="1:8" s="1576" customFormat="1">
      <c r="A1185" s="1577"/>
      <c r="B1185" s="1577"/>
      <c r="C1185" s="1577"/>
      <c r="D1185" s="1577"/>
      <c r="G1185" s="1578"/>
      <c r="H1185" s="1579"/>
    </row>
    <row r="1186" spans="1:8" s="1576" customFormat="1">
      <c r="A1186" s="1577"/>
      <c r="B1186" s="1577"/>
      <c r="C1186" s="1577"/>
      <c r="D1186" s="1577"/>
      <c r="G1186" s="1578"/>
      <c r="H1186" s="1579"/>
    </row>
    <row r="1187" spans="1:8" s="1576" customFormat="1">
      <c r="A1187" s="1577"/>
      <c r="B1187" s="1577"/>
      <c r="C1187" s="1577"/>
      <c r="D1187" s="1577"/>
      <c r="G1187" s="1578"/>
      <c r="H1187" s="1579"/>
    </row>
    <row r="1188" spans="1:8" s="1576" customFormat="1">
      <c r="A1188" s="1577"/>
      <c r="B1188" s="1577"/>
      <c r="C1188" s="1577"/>
      <c r="D1188" s="1577"/>
      <c r="G1188" s="1578"/>
      <c r="H1188" s="1579"/>
    </row>
    <row r="1189" spans="1:8" s="1576" customFormat="1">
      <c r="A1189" s="1577"/>
      <c r="B1189" s="1577"/>
      <c r="C1189" s="1577"/>
      <c r="D1189" s="1577"/>
      <c r="G1189" s="1578"/>
      <c r="H1189" s="1579"/>
    </row>
    <row r="1190" spans="1:8" s="1576" customFormat="1">
      <c r="A1190" s="1577"/>
      <c r="B1190" s="1577"/>
      <c r="C1190" s="1577"/>
      <c r="D1190" s="1577"/>
      <c r="G1190" s="1578"/>
      <c r="H1190" s="1579"/>
    </row>
    <row r="1191" spans="1:8" s="1576" customFormat="1">
      <c r="A1191" s="1577"/>
      <c r="B1191" s="1577"/>
      <c r="C1191" s="1577"/>
      <c r="D1191" s="1577"/>
      <c r="G1191" s="1578"/>
      <c r="H1191" s="1579"/>
    </row>
    <row r="1192" spans="1:8" s="1576" customFormat="1">
      <c r="A1192" s="1577"/>
      <c r="B1192" s="1577"/>
      <c r="C1192" s="1577"/>
      <c r="D1192" s="1577"/>
      <c r="G1192" s="1578"/>
      <c r="H1192" s="1579"/>
    </row>
    <row r="1193" spans="1:8" s="1576" customFormat="1">
      <c r="A1193" s="1577"/>
      <c r="B1193" s="1577"/>
      <c r="C1193" s="1577"/>
      <c r="D1193" s="1577"/>
      <c r="G1193" s="1578"/>
      <c r="H1193" s="1579"/>
    </row>
    <row r="1194" spans="1:8" s="1576" customFormat="1">
      <c r="A1194" s="1577"/>
      <c r="B1194" s="1577"/>
      <c r="C1194" s="1577"/>
      <c r="D1194" s="1577"/>
      <c r="G1194" s="1578"/>
      <c r="H1194" s="1579"/>
    </row>
    <row r="1195" spans="1:8" s="1576" customFormat="1">
      <c r="A1195" s="1577"/>
      <c r="B1195" s="1577"/>
      <c r="C1195" s="1577"/>
      <c r="D1195" s="1577"/>
      <c r="G1195" s="1578"/>
      <c r="H1195" s="1579"/>
    </row>
    <row r="1196" spans="1:8" s="1576" customFormat="1">
      <c r="A1196" s="1577"/>
      <c r="B1196" s="1577"/>
      <c r="C1196" s="1577"/>
      <c r="D1196" s="1577"/>
      <c r="G1196" s="1578"/>
      <c r="H1196" s="1579"/>
    </row>
    <row r="1197" spans="1:8" s="1576" customFormat="1">
      <c r="A1197" s="1577"/>
      <c r="B1197" s="1577"/>
      <c r="C1197" s="1577"/>
      <c r="D1197" s="1577"/>
      <c r="G1197" s="1578"/>
      <c r="H1197" s="1579"/>
    </row>
    <row r="1198" spans="1:8" s="1576" customFormat="1">
      <c r="A1198" s="1577"/>
      <c r="B1198" s="1577"/>
      <c r="C1198" s="1577"/>
      <c r="D1198" s="1577"/>
      <c r="G1198" s="1578"/>
      <c r="H1198" s="1579"/>
    </row>
    <row r="1199" spans="1:8" s="1576" customFormat="1">
      <c r="A1199" s="1577"/>
      <c r="B1199" s="1577"/>
      <c r="C1199" s="1577"/>
      <c r="D1199" s="1577"/>
      <c r="G1199" s="1578"/>
      <c r="H1199" s="1579"/>
    </row>
    <row r="1200" spans="1:8" s="1576" customFormat="1">
      <c r="A1200" s="1577"/>
      <c r="B1200" s="1577"/>
      <c r="C1200" s="1577"/>
      <c r="D1200" s="1577"/>
      <c r="G1200" s="1578"/>
      <c r="H1200" s="1579"/>
    </row>
    <row r="1201" spans="1:8" s="1576" customFormat="1">
      <c r="A1201" s="1577"/>
      <c r="B1201" s="1577"/>
      <c r="C1201" s="1577"/>
      <c r="D1201" s="1577"/>
      <c r="G1201" s="1578"/>
      <c r="H1201" s="1579"/>
    </row>
    <row r="1202" spans="1:8" s="1576" customFormat="1">
      <c r="A1202" s="1577"/>
      <c r="B1202" s="1577"/>
      <c r="C1202" s="1577"/>
      <c r="D1202" s="1577"/>
      <c r="G1202" s="1578"/>
      <c r="H1202" s="1579"/>
    </row>
    <row r="1203" spans="1:8" s="1576" customFormat="1">
      <c r="A1203" s="1577"/>
      <c r="B1203" s="1577"/>
      <c r="C1203" s="1577"/>
      <c r="D1203" s="1577"/>
      <c r="G1203" s="1578"/>
      <c r="H1203" s="1579"/>
    </row>
    <row r="1204" spans="1:8" s="1576" customFormat="1">
      <c r="A1204" s="1577"/>
      <c r="B1204" s="1577"/>
      <c r="C1204" s="1577"/>
      <c r="D1204" s="1577"/>
      <c r="G1204" s="1578"/>
      <c r="H1204" s="1579"/>
    </row>
    <row r="1205" spans="1:8" s="1576" customFormat="1">
      <c r="A1205" s="1577"/>
      <c r="B1205" s="1577"/>
      <c r="C1205" s="1577"/>
      <c r="D1205" s="1577"/>
      <c r="G1205" s="1578"/>
      <c r="H1205" s="1579"/>
    </row>
    <row r="1206" spans="1:8" s="1576" customFormat="1">
      <c r="A1206" s="1577"/>
      <c r="B1206" s="1577"/>
      <c r="C1206" s="1577"/>
      <c r="D1206" s="1577"/>
      <c r="G1206" s="1578"/>
      <c r="H1206" s="1579"/>
    </row>
    <row r="1207" spans="1:8" s="1576" customFormat="1">
      <c r="A1207" s="1577"/>
      <c r="B1207" s="1577"/>
      <c r="C1207" s="1577"/>
      <c r="D1207" s="1577"/>
      <c r="G1207" s="1578"/>
      <c r="H1207" s="1579"/>
    </row>
    <row r="1208" spans="1:8" s="1576" customFormat="1">
      <c r="A1208" s="1577"/>
      <c r="B1208" s="1577"/>
      <c r="C1208" s="1577"/>
      <c r="D1208" s="1577"/>
      <c r="G1208" s="1578"/>
      <c r="H1208" s="1579"/>
    </row>
    <row r="1209" spans="1:8" s="1576" customFormat="1">
      <c r="A1209" s="1577"/>
      <c r="B1209" s="1577"/>
      <c r="C1209" s="1577"/>
      <c r="D1209" s="1577"/>
      <c r="G1209" s="1578"/>
      <c r="H1209" s="1579"/>
    </row>
    <row r="1210" spans="1:8" s="1576" customFormat="1">
      <c r="A1210" s="1577"/>
      <c r="B1210" s="1577"/>
      <c r="C1210" s="1577"/>
      <c r="D1210" s="1577"/>
      <c r="G1210" s="1578"/>
      <c r="H1210" s="1579"/>
    </row>
    <row r="1211" spans="1:8" s="1576" customFormat="1">
      <c r="A1211" s="1577"/>
      <c r="B1211" s="1577"/>
      <c r="C1211" s="1577"/>
      <c r="D1211" s="1577"/>
      <c r="G1211" s="1578"/>
      <c r="H1211" s="1579"/>
    </row>
    <row r="1212" spans="1:8" s="1576" customFormat="1">
      <c r="A1212" s="1577"/>
      <c r="B1212" s="1577"/>
      <c r="C1212" s="1577"/>
      <c r="D1212" s="1577"/>
      <c r="G1212" s="1578"/>
      <c r="H1212" s="1579"/>
    </row>
    <row r="1213" spans="1:8" s="1576" customFormat="1">
      <c r="A1213" s="1577"/>
      <c r="B1213" s="1577"/>
      <c r="C1213" s="1577"/>
      <c r="D1213" s="1577"/>
      <c r="G1213" s="1578"/>
      <c r="H1213" s="1579"/>
    </row>
    <row r="1214" spans="1:8" s="1576" customFormat="1">
      <c r="A1214" s="1577"/>
      <c r="B1214" s="1577"/>
      <c r="C1214" s="1577"/>
      <c r="D1214" s="1577"/>
      <c r="G1214" s="1578"/>
      <c r="H1214" s="1579"/>
    </row>
    <row r="1215" spans="1:8" s="1576" customFormat="1">
      <c r="A1215" s="1577"/>
      <c r="B1215" s="1577"/>
      <c r="C1215" s="1577"/>
      <c r="D1215" s="1577"/>
      <c r="G1215" s="1578"/>
      <c r="H1215" s="1579"/>
    </row>
    <row r="1216" spans="1:8" s="1576" customFormat="1">
      <c r="A1216" s="1577"/>
      <c r="B1216" s="1577"/>
      <c r="C1216" s="1577"/>
      <c r="D1216" s="1577"/>
      <c r="G1216" s="1578"/>
      <c r="H1216" s="1579"/>
    </row>
    <row r="1217" spans="1:8" s="1576" customFormat="1">
      <c r="A1217" s="1577"/>
      <c r="B1217" s="1577"/>
      <c r="C1217" s="1577"/>
      <c r="D1217" s="1577"/>
      <c r="G1217" s="1578"/>
      <c r="H1217" s="1579"/>
    </row>
    <row r="1218" spans="1:8" s="1576" customFormat="1">
      <c r="A1218" s="1577"/>
      <c r="B1218" s="1577"/>
      <c r="C1218" s="1577"/>
      <c r="D1218" s="1577"/>
      <c r="G1218" s="1578"/>
      <c r="H1218" s="1579"/>
    </row>
    <row r="1219" spans="1:8" s="1576" customFormat="1">
      <c r="A1219" s="1577"/>
      <c r="B1219" s="1577"/>
      <c r="C1219" s="1577"/>
      <c r="D1219" s="1577"/>
      <c r="G1219" s="1578"/>
      <c r="H1219" s="1579"/>
    </row>
    <row r="1220" spans="1:8" s="1576" customFormat="1">
      <c r="A1220" s="1577"/>
      <c r="B1220" s="1577"/>
      <c r="C1220" s="1577"/>
      <c r="D1220" s="1577"/>
      <c r="G1220" s="1578"/>
      <c r="H1220" s="1579"/>
    </row>
    <row r="1221" spans="1:8" s="1576" customFormat="1">
      <c r="A1221" s="1577"/>
      <c r="B1221" s="1577"/>
      <c r="C1221" s="1577"/>
      <c r="D1221" s="1577"/>
      <c r="G1221" s="1578"/>
      <c r="H1221" s="1579"/>
    </row>
    <row r="1222" spans="1:8" s="1576" customFormat="1">
      <c r="A1222" s="1577"/>
      <c r="B1222" s="1577"/>
      <c r="C1222" s="1577"/>
      <c r="D1222" s="1577"/>
      <c r="G1222" s="1578"/>
      <c r="H1222" s="1579"/>
    </row>
    <row r="1223" spans="1:8" s="1576" customFormat="1">
      <c r="A1223" s="1577"/>
      <c r="B1223" s="1577"/>
      <c r="C1223" s="1577"/>
      <c r="D1223" s="1577"/>
      <c r="G1223" s="1578"/>
      <c r="H1223" s="1579"/>
    </row>
    <row r="1224" spans="1:8" s="1576" customFormat="1">
      <c r="A1224" s="1577"/>
      <c r="B1224" s="1577"/>
      <c r="C1224" s="1577"/>
      <c r="D1224" s="1577"/>
      <c r="G1224" s="1578"/>
      <c r="H1224" s="1579"/>
    </row>
    <row r="1225" spans="1:8" s="1576" customFormat="1">
      <c r="A1225" s="1577"/>
      <c r="B1225" s="1577"/>
      <c r="C1225" s="1577"/>
      <c r="D1225" s="1577"/>
      <c r="G1225" s="1578"/>
      <c r="H1225" s="1579"/>
    </row>
    <row r="1226" spans="1:8" s="1576" customFormat="1">
      <c r="A1226" s="1577"/>
      <c r="B1226" s="1577"/>
      <c r="C1226" s="1577"/>
      <c r="D1226" s="1577"/>
      <c r="G1226" s="1578"/>
      <c r="H1226" s="1579"/>
    </row>
    <row r="1227" spans="1:8" s="1576" customFormat="1">
      <c r="A1227" s="1577"/>
      <c r="B1227" s="1577"/>
      <c r="C1227" s="1577"/>
      <c r="D1227" s="1577"/>
      <c r="G1227" s="1578"/>
      <c r="H1227" s="1579"/>
    </row>
    <row r="1228" spans="1:8" s="1576" customFormat="1">
      <c r="A1228" s="1577"/>
      <c r="B1228" s="1577"/>
      <c r="C1228" s="1577"/>
      <c r="D1228" s="1577"/>
      <c r="G1228" s="1578"/>
      <c r="H1228" s="1579"/>
    </row>
    <row r="1229" spans="1:8" s="1576" customFormat="1">
      <c r="A1229" s="1577"/>
      <c r="B1229" s="1577"/>
      <c r="C1229" s="1577"/>
      <c r="D1229" s="1577"/>
      <c r="G1229" s="1578"/>
      <c r="H1229" s="1579"/>
    </row>
    <row r="1230" spans="1:8" s="1576" customFormat="1">
      <c r="A1230" s="1577"/>
      <c r="B1230" s="1577"/>
      <c r="C1230" s="1577"/>
      <c r="D1230" s="1577"/>
      <c r="G1230" s="1578"/>
      <c r="H1230" s="1579"/>
    </row>
    <row r="1231" spans="1:8" s="1576" customFormat="1">
      <c r="A1231" s="1577"/>
      <c r="B1231" s="1577"/>
      <c r="C1231" s="1577"/>
      <c r="D1231" s="1577"/>
      <c r="G1231" s="1578"/>
      <c r="H1231" s="1579"/>
    </row>
    <row r="1232" spans="1:8" s="1576" customFormat="1">
      <c r="A1232" s="1577"/>
      <c r="B1232" s="1577"/>
      <c r="C1232" s="1577"/>
      <c r="D1232" s="1577"/>
      <c r="G1232" s="1578"/>
      <c r="H1232" s="1579"/>
    </row>
    <row r="1233" spans="1:8" s="1576" customFormat="1">
      <c r="A1233" s="1577"/>
      <c r="B1233" s="1577"/>
      <c r="C1233" s="1577"/>
      <c r="D1233" s="1577"/>
      <c r="G1233" s="1578"/>
      <c r="H1233" s="1579"/>
    </row>
    <row r="1234" spans="1:8" s="1576" customFormat="1">
      <c r="A1234" s="1577"/>
      <c r="B1234" s="1577"/>
      <c r="C1234" s="1577"/>
      <c r="D1234" s="1577"/>
      <c r="G1234" s="1578"/>
      <c r="H1234" s="1579"/>
    </row>
    <row r="1235" spans="1:8" s="1576" customFormat="1">
      <c r="A1235" s="1577"/>
      <c r="B1235" s="1577"/>
      <c r="C1235" s="1577"/>
      <c r="D1235" s="1577"/>
      <c r="G1235" s="1578"/>
      <c r="H1235" s="1579"/>
    </row>
    <row r="1236" spans="1:8" s="1576" customFormat="1">
      <c r="A1236" s="1577"/>
      <c r="B1236" s="1577"/>
      <c r="C1236" s="1577"/>
      <c r="D1236" s="1577"/>
      <c r="G1236" s="1578"/>
      <c r="H1236" s="1579"/>
    </row>
    <row r="1237" spans="1:8" s="1576" customFormat="1">
      <c r="A1237" s="1577"/>
      <c r="B1237" s="1577"/>
      <c r="C1237" s="1577"/>
      <c r="D1237" s="1577"/>
      <c r="G1237" s="1578"/>
      <c r="H1237" s="1579"/>
    </row>
    <row r="1238" spans="1:8" s="1576" customFormat="1">
      <c r="A1238" s="1577"/>
      <c r="B1238" s="1577"/>
      <c r="C1238" s="1577"/>
      <c r="D1238" s="1577"/>
      <c r="G1238" s="1578"/>
      <c r="H1238" s="1579"/>
    </row>
    <row r="1239" spans="1:8" s="1576" customFormat="1">
      <c r="A1239" s="1577"/>
      <c r="B1239" s="1577"/>
      <c r="C1239" s="1577"/>
      <c r="D1239" s="1577"/>
      <c r="G1239" s="1578"/>
      <c r="H1239" s="1579"/>
    </row>
    <row r="1240" spans="1:8" s="1576" customFormat="1">
      <c r="A1240" s="1577"/>
      <c r="B1240" s="1577"/>
      <c r="C1240" s="1577"/>
      <c r="D1240" s="1577"/>
      <c r="G1240" s="1578"/>
      <c r="H1240" s="1579"/>
    </row>
    <row r="1241" spans="1:8" s="1576" customFormat="1">
      <c r="A1241" s="1577"/>
      <c r="B1241" s="1577"/>
      <c r="C1241" s="1577"/>
      <c r="D1241" s="1577"/>
      <c r="G1241" s="1578"/>
      <c r="H1241" s="1579"/>
    </row>
    <row r="1242" spans="1:8" s="1576" customFormat="1">
      <c r="A1242" s="1577"/>
      <c r="B1242" s="1577"/>
      <c r="C1242" s="1577"/>
      <c r="D1242" s="1577"/>
      <c r="G1242" s="1578"/>
      <c r="H1242" s="1579"/>
    </row>
    <row r="1243" spans="1:8" s="1576" customFormat="1">
      <c r="A1243" s="1577"/>
      <c r="B1243" s="1577"/>
      <c r="C1243" s="1577"/>
      <c r="D1243" s="1577"/>
      <c r="G1243" s="1578"/>
      <c r="H1243" s="1579"/>
    </row>
    <row r="1244" spans="1:8" s="1576" customFormat="1">
      <c r="A1244" s="1577"/>
      <c r="B1244" s="1577"/>
      <c r="C1244" s="1577"/>
      <c r="D1244" s="1577"/>
      <c r="G1244" s="1578"/>
      <c r="H1244" s="1579"/>
    </row>
    <row r="1245" spans="1:8" s="1576" customFormat="1">
      <c r="A1245" s="1577"/>
      <c r="B1245" s="1577"/>
      <c r="C1245" s="1577"/>
      <c r="D1245" s="1577"/>
      <c r="G1245" s="1578"/>
      <c r="H1245" s="1579"/>
    </row>
    <row r="1246" spans="1:8" s="1576" customFormat="1">
      <c r="A1246" s="1577"/>
      <c r="B1246" s="1577"/>
      <c r="C1246" s="1577"/>
      <c r="D1246" s="1577"/>
      <c r="G1246" s="1578"/>
      <c r="H1246" s="1579"/>
    </row>
    <row r="1247" spans="1:8" s="1576" customFormat="1">
      <c r="A1247" s="1577"/>
      <c r="B1247" s="1577"/>
      <c r="C1247" s="1577"/>
      <c r="D1247" s="1577"/>
      <c r="G1247" s="1578"/>
      <c r="H1247" s="1579"/>
    </row>
    <row r="1248" spans="1:8" s="1576" customFormat="1">
      <c r="A1248" s="1577"/>
      <c r="B1248" s="1577"/>
      <c r="C1248" s="1577"/>
      <c r="D1248" s="1577"/>
      <c r="G1248" s="1578"/>
      <c r="H1248" s="1579"/>
    </row>
    <row r="1249" spans="1:4">
      <c r="A1249" s="1577"/>
      <c r="B1249" s="1577"/>
      <c r="C1249" s="1577"/>
      <c r="D1249" s="1577"/>
    </row>
    <row r="1250" spans="1:4">
      <c r="A1250" s="1577"/>
      <c r="B1250" s="1577"/>
      <c r="C1250" s="1577"/>
      <c r="D1250" s="1577"/>
    </row>
    <row r="1251" spans="1:4">
      <c r="A1251" s="1577"/>
      <c r="B1251" s="1577"/>
      <c r="C1251" s="1577"/>
      <c r="D1251" s="1577"/>
    </row>
    <row r="1252" spans="1:4">
      <c r="A1252" s="1577"/>
      <c r="B1252" s="1577"/>
      <c r="C1252" s="1577"/>
      <c r="D1252" s="1577"/>
    </row>
    <row r="1253" spans="1:4">
      <c r="A1253" s="1577"/>
      <c r="B1253" s="1577"/>
      <c r="C1253" s="1577"/>
      <c r="D1253" s="1577"/>
    </row>
    <row r="1254" spans="1:4">
      <c r="A1254" s="1577"/>
      <c r="B1254" s="1577"/>
      <c r="C1254" s="1577"/>
      <c r="D1254" s="1577"/>
    </row>
    <row r="1255" spans="1:4">
      <c r="A1255" s="1577"/>
      <c r="B1255" s="1577"/>
      <c r="C1255" s="1577"/>
      <c r="D1255" s="1577"/>
    </row>
    <row r="1256" spans="1:4">
      <c r="B1256" s="1577"/>
      <c r="C1256" s="1577"/>
      <c r="D1256" s="1577"/>
    </row>
    <row r="1257" spans="1:4">
      <c r="B1257" s="1577"/>
      <c r="C1257" s="1577"/>
      <c r="D1257" s="1577"/>
    </row>
    <row r="1258" spans="1:4">
      <c r="B1258" s="1577"/>
      <c r="C1258" s="1577"/>
      <c r="D1258" s="1577"/>
    </row>
    <row r="1259" spans="1:4">
      <c r="B1259" s="1577"/>
      <c r="C1259" s="1577"/>
      <c r="D1259" s="1577"/>
    </row>
  </sheetData>
  <mergeCells count="302">
    <mergeCell ref="B12:C12"/>
    <mergeCell ref="B13:B16"/>
    <mergeCell ref="C13:C16"/>
    <mergeCell ref="B17:C17"/>
    <mergeCell ref="B20:C20"/>
    <mergeCell ref="B24:C24"/>
    <mergeCell ref="A3:H3"/>
    <mergeCell ref="A4:H4"/>
    <mergeCell ref="A7:A8"/>
    <mergeCell ref="B7:B8"/>
    <mergeCell ref="C7:C8"/>
    <mergeCell ref="D7:D8"/>
    <mergeCell ref="E7:E8"/>
    <mergeCell ref="F7:F8"/>
    <mergeCell ref="G7:G8"/>
    <mergeCell ref="H7:H8"/>
    <mergeCell ref="B26:C26"/>
    <mergeCell ref="B31:C31"/>
    <mergeCell ref="B34:C34"/>
    <mergeCell ref="B35:B40"/>
    <mergeCell ref="B41:C41"/>
    <mergeCell ref="A43:A47"/>
    <mergeCell ref="B44:C44"/>
    <mergeCell ref="B45:B46"/>
    <mergeCell ref="B47:C47"/>
    <mergeCell ref="A59:A62"/>
    <mergeCell ref="B60:C60"/>
    <mergeCell ref="B61:B62"/>
    <mergeCell ref="D61:D62"/>
    <mergeCell ref="B64:C64"/>
    <mergeCell ref="B69:C69"/>
    <mergeCell ref="A49:A53"/>
    <mergeCell ref="B50:C50"/>
    <mergeCell ref="B51:B52"/>
    <mergeCell ref="B53:C53"/>
    <mergeCell ref="A55:A58"/>
    <mergeCell ref="B56:C56"/>
    <mergeCell ref="B93:C93"/>
    <mergeCell ref="A98:A99"/>
    <mergeCell ref="B98:C98"/>
    <mergeCell ref="B100:C100"/>
    <mergeCell ref="B101:B102"/>
    <mergeCell ref="B103:C103"/>
    <mergeCell ref="B73:C73"/>
    <mergeCell ref="C75:C76"/>
    <mergeCell ref="B83:C83"/>
    <mergeCell ref="B86:C86"/>
    <mergeCell ref="B88:C88"/>
    <mergeCell ref="B89:B90"/>
    <mergeCell ref="D123:D125"/>
    <mergeCell ref="D126:D127"/>
    <mergeCell ref="D128:D133"/>
    <mergeCell ref="A132:A134"/>
    <mergeCell ref="B132:B136"/>
    <mergeCell ref="B139:C139"/>
    <mergeCell ref="B105:C105"/>
    <mergeCell ref="C106:C116"/>
    <mergeCell ref="A119:A120"/>
    <mergeCell ref="B120:C120"/>
    <mergeCell ref="A123:A124"/>
    <mergeCell ref="B123:B124"/>
    <mergeCell ref="A162:A178"/>
    <mergeCell ref="B151:B154"/>
    <mergeCell ref="B155:C155"/>
    <mergeCell ref="B157:C157"/>
    <mergeCell ref="B158:B159"/>
    <mergeCell ref="B160:C160"/>
    <mergeCell ref="B163:C163"/>
    <mergeCell ref="B141:C141"/>
    <mergeCell ref="B143:C143"/>
    <mergeCell ref="A145:A146"/>
    <mergeCell ref="B145:B146"/>
    <mergeCell ref="B147:C147"/>
    <mergeCell ref="B150:C150"/>
    <mergeCell ref="B181:C181"/>
    <mergeCell ref="B182:B185"/>
    <mergeCell ref="C182:C185"/>
    <mergeCell ref="B186:C186"/>
    <mergeCell ref="B189:C189"/>
    <mergeCell ref="B191:C191"/>
    <mergeCell ref="B168:B169"/>
    <mergeCell ref="B173:C173"/>
    <mergeCell ref="D176:D177"/>
    <mergeCell ref="B174:B178"/>
    <mergeCell ref="A218:A235"/>
    <mergeCell ref="B219:C219"/>
    <mergeCell ref="B222:C222"/>
    <mergeCell ref="B224:C224"/>
    <mergeCell ref="B225:B227"/>
    <mergeCell ref="C226:C227"/>
    <mergeCell ref="B228:C228"/>
    <mergeCell ref="B193:C193"/>
    <mergeCell ref="C194:C196"/>
    <mergeCell ref="B200:C200"/>
    <mergeCell ref="B202:C202"/>
    <mergeCell ref="B204:C204"/>
    <mergeCell ref="B207:C207"/>
    <mergeCell ref="B230:C230"/>
    <mergeCell ref="B231:B234"/>
    <mergeCell ref="D232:D233"/>
    <mergeCell ref="B235:C235"/>
    <mergeCell ref="B238:C238"/>
    <mergeCell ref="B241:C241"/>
    <mergeCell ref="B208:B214"/>
    <mergeCell ref="D211:D212"/>
    <mergeCell ref="B215:C215"/>
    <mergeCell ref="B259:B260"/>
    <mergeCell ref="B261:C261"/>
    <mergeCell ref="B263:C263"/>
    <mergeCell ref="C264:C265"/>
    <mergeCell ref="D267:D268"/>
    <mergeCell ref="A269:A270"/>
    <mergeCell ref="B269:B270"/>
    <mergeCell ref="B243:C243"/>
    <mergeCell ref="C244:C252"/>
    <mergeCell ref="B251:B253"/>
    <mergeCell ref="A252:A253"/>
    <mergeCell ref="B255:C255"/>
    <mergeCell ref="B258:C258"/>
    <mergeCell ref="D284:D285"/>
    <mergeCell ref="D286:D288"/>
    <mergeCell ref="D289:D293"/>
    <mergeCell ref="D294:D295"/>
    <mergeCell ref="D296:D297"/>
    <mergeCell ref="D298:D300"/>
    <mergeCell ref="B271:C271"/>
    <mergeCell ref="B273:C273"/>
    <mergeCell ref="B275:C275"/>
    <mergeCell ref="B278:C278"/>
    <mergeCell ref="B280:C280"/>
    <mergeCell ref="B282:C282"/>
    <mergeCell ref="B326:C326"/>
    <mergeCell ref="B328:C328"/>
    <mergeCell ref="B329:B330"/>
    <mergeCell ref="B331:C331"/>
    <mergeCell ref="B334:C334"/>
    <mergeCell ref="B336:C336"/>
    <mergeCell ref="B304:C304"/>
    <mergeCell ref="D307:D308"/>
    <mergeCell ref="B315:C315"/>
    <mergeCell ref="B317:C317"/>
    <mergeCell ref="B320:C320"/>
    <mergeCell ref="B321:B325"/>
    <mergeCell ref="B350:C350"/>
    <mergeCell ref="B352:C352"/>
    <mergeCell ref="B353:C353"/>
    <mergeCell ref="B356:C356"/>
    <mergeCell ref="B358:C358"/>
    <mergeCell ref="B360:C360"/>
    <mergeCell ref="B338:C338"/>
    <mergeCell ref="B339:B340"/>
    <mergeCell ref="B341:C341"/>
    <mergeCell ref="B344:C344"/>
    <mergeCell ref="B346:C346"/>
    <mergeCell ref="B348:C348"/>
    <mergeCell ref="D373:D374"/>
    <mergeCell ref="D375:D376"/>
    <mergeCell ref="B378:C378"/>
    <mergeCell ref="B379:B383"/>
    <mergeCell ref="B384:C384"/>
    <mergeCell ref="B391:C391"/>
    <mergeCell ref="B362:C362"/>
    <mergeCell ref="B364:C364"/>
    <mergeCell ref="B365:B369"/>
    <mergeCell ref="D365:D366"/>
    <mergeCell ref="D368:D369"/>
    <mergeCell ref="B370:C370"/>
    <mergeCell ref="B409:C409"/>
    <mergeCell ref="B411:C411"/>
    <mergeCell ref="B412:B413"/>
    <mergeCell ref="C412:C413"/>
    <mergeCell ref="B414:B415"/>
    <mergeCell ref="D416:D419"/>
    <mergeCell ref="B392:B394"/>
    <mergeCell ref="B395:C395"/>
    <mergeCell ref="B397:C397"/>
    <mergeCell ref="B399:C399"/>
    <mergeCell ref="B401:C401"/>
    <mergeCell ref="B402:B408"/>
    <mergeCell ref="C402:C405"/>
    <mergeCell ref="B438:C438"/>
    <mergeCell ref="B440:C440"/>
    <mergeCell ref="B442:C442"/>
    <mergeCell ref="B443:B447"/>
    <mergeCell ref="B448:C448"/>
    <mergeCell ref="B452:C452"/>
    <mergeCell ref="D420:D423"/>
    <mergeCell ref="B426:C426"/>
    <mergeCell ref="B429:C429"/>
    <mergeCell ref="B430:B434"/>
    <mergeCell ref="C430:C434"/>
    <mergeCell ref="B436:C436"/>
    <mergeCell ref="B466:C466"/>
    <mergeCell ref="B469:C469"/>
    <mergeCell ref="B470:C470"/>
    <mergeCell ref="B471:B472"/>
    <mergeCell ref="B474:C474"/>
    <mergeCell ref="B475:C475"/>
    <mergeCell ref="B453:B454"/>
    <mergeCell ref="B455:C455"/>
    <mergeCell ref="B456:B459"/>
    <mergeCell ref="B461:C461"/>
    <mergeCell ref="B462:C462"/>
    <mergeCell ref="B465:C465"/>
    <mergeCell ref="B488:C488"/>
    <mergeCell ref="B490:C490"/>
    <mergeCell ref="B492:C492"/>
    <mergeCell ref="B494:C494"/>
    <mergeCell ref="B496:C496"/>
    <mergeCell ref="B497:B502"/>
    <mergeCell ref="B478:C478"/>
    <mergeCell ref="B479:B480"/>
    <mergeCell ref="B481:C481"/>
    <mergeCell ref="B483:C483"/>
    <mergeCell ref="B484:B485"/>
    <mergeCell ref="B486:C486"/>
    <mergeCell ref="B522:C522"/>
    <mergeCell ref="B524:C524"/>
    <mergeCell ref="D525:D526"/>
    <mergeCell ref="D527:D528"/>
    <mergeCell ref="D529:D531"/>
    <mergeCell ref="D533:D535"/>
    <mergeCell ref="B503:C503"/>
    <mergeCell ref="B507:C507"/>
    <mergeCell ref="B510:C510"/>
    <mergeCell ref="B512:C512"/>
    <mergeCell ref="B513:B521"/>
    <mergeCell ref="C513:C519"/>
    <mergeCell ref="B552:C552"/>
    <mergeCell ref="B554:C554"/>
    <mergeCell ref="B556:C556"/>
    <mergeCell ref="B557:B575"/>
    <mergeCell ref="C557:C569"/>
    <mergeCell ref="B576:C576"/>
    <mergeCell ref="C537:C538"/>
    <mergeCell ref="B540:C540"/>
    <mergeCell ref="B541:B544"/>
    <mergeCell ref="B547:C547"/>
    <mergeCell ref="B548:B549"/>
    <mergeCell ref="B550:C550"/>
    <mergeCell ref="D622:D624"/>
    <mergeCell ref="B626:C626"/>
    <mergeCell ref="A596:A599"/>
    <mergeCell ref="B597:C597"/>
    <mergeCell ref="B599:C599"/>
    <mergeCell ref="B602:C602"/>
    <mergeCell ref="B606:C606"/>
    <mergeCell ref="B608:C608"/>
    <mergeCell ref="B578:C578"/>
    <mergeCell ref="D584:D586"/>
    <mergeCell ref="D587:D588"/>
    <mergeCell ref="B589:C589"/>
    <mergeCell ref="A592:A595"/>
    <mergeCell ref="B593:C593"/>
    <mergeCell ref="B595:C595"/>
    <mergeCell ref="B628:C628"/>
    <mergeCell ref="B637:C637"/>
    <mergeCell ref="B639:C639"/>
    <mergeCell ref="B640:B642"/>
    <mergeCell ref="C640:C642"/>
    <mergeCell ref="B643:C643"/>
    <mergeCell ref="B610:C610"/>
    <mergeCell ref="B612:C612"/>
    <mergeCell ref="B616:C616"/>
    <mergeCell ref="B619:C619"/>
    <mergeCell ref="B657:C657"/>
    <mergeCell ref="B658:B660"/>
    <mergeCell ref="B661:C661"/>
    <mergeCell ref="B663:C663"/>
    <mergeCell ref="B664:B666"/>
    <mergeCell ref="B667:C667"/>
    <mergeCell ref="A644:A648"/>
    <mergeCell ref="B645:C645"/>
    <mergeCell ref="B646:B647"/>
    <mergeCell ref="B648:C648"/>
    <mergeCell ref="B650:C650"/>
    <mergeCell ref="B654:C654"/>
    <mergeCell ref="B686:C686"/>
    <mergeCell ref="B689:C689"/>
    <mergeCell ref="B690:B691"/>
    <mergeCell ref="B692:C692"/>
    <mergeCell ref="A694:A695"/>
    <mergeCell ref="B695:C695"/>
    <mergeCell ref="B670:C670"/>
    <mergeCell ref="B672:C672"/>
    <mergeCell ref="B675:C675"/>
    <mergeCell ref="B676:B678"/>
    <mergeCell ref="B679:C679"/>
    <mergeCell ref="B684:C684"/>
    <mergeCell ref="A724:C724"/>
    <mergeCell ref="B712:C712"/>
    <mergeCell ref="B714:C714"/>
    <mergeCell ref="B716:C716"/>
    <mergeCell ref="B719:C719"/>
    <mergeCell ref="B720:B722"/>
    <mergeCell ref="B723:C723"/>
    <mergeCell ref="B696:B698"/>
    <mergeCell ref="B699:C699"/>
    <mergeCell ref="B700:B701"/>
    <mergeCell ref="B703:C703"/>
    <mergeCell ref="B705:C705"/>
    <mergeCell ref="B708:C7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Strona &amp;P z &amp;N</oddFooter>
  </headerFooter>
  <rowBreaks count="21" manualBreakCount="21">
    <brk id="24" max="7" man="1"/>
    <brk id="41" max="7" man="1"/>
    <brk id="94" max="7" man="1"/>
    <brk id="155" max="7" man="1"/>
    <brk id="178" max="7" man="1"/>
    <brk id="216" max="7" man="1"/>
    <brk id="235" max="7" man="1"/>
    <brk id="256" max="7" man="1"/>
    <brk id="271" max="7" man="1"/>
    <brk id="326" max="7" man="1"/>
    <brk id="372" max="7" man="1"/>
    <brk id="413" max="7" man="1"/>
    <brk id="419" max="7" man="1"/>
    <brk id="449" max="7" man="1"/>
    <brk id="490" max="7" man="1"/>
    <brk id="528" max="7" man="1"/>
    <brk id="554" max="7" man="1"/>
    <brk id="576" max="7" man="1"/>
    <brk id="586" max="7" man="1"/>
    <brk id="610" max="7" man="1"/>
    <brk id="70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751B-DCF6-44AF-8EFC-5C83F23D4ACD}">
  <sheetPr>
    <tabColor rgb="FFCCCC00"/>
    <pageSetUpPr fitToPage="1"/>
  </sheetPr>
  <dimension ref="A1:O2613"/>
  <sheetViews>
    <sheetView showGridLines="0" view="pageBreakPreview" zoomScaleNormal="110" zoomScaleSheetLayoutView="100" workbookViewId="0">
      <selection activeCell="K153" sqref="K153"/>
    </sheetView>
  </sheetViews>
  <sheetFormatPr defaultRowHeight="12.75"/>
  <cols>
    <col min="1" max="1" width="7" style="1583" customWidth="1"/>
    <col min="2" max="2" width="8.7109375" style="1583" customWidth="1"/>
    <col min="3" max="3" width="10.5703125" style="1583" customWidth="1"/>
    <col min="4" max="4" width="61.7109375" style="1583" customWidth="1"/>
    <col min="5" max="5" width="14.5703125" style="1583" hidden="1" customWidth="1"/>
    <col min="6" max="6" width="19.42578125" style="1583" customWidth="1"/>
    <col min="7" max="7" width="15.5703125" style="1817" bestFit="1" customWidth="1"/>
    <col min="8" max="8" width="17.7109375" style="3761" customWidth="1"/>
    <col min="9" max="9" width="11.140625" style="3760" customWidth="1"/>
    <col min="10" max="10" width="11.28515625" style="1583" bestFit="1" customWidth="1"/>
    <col min="11" max="11" width="12.7109375" style="1639" bestFit="1" customWidth="1"/>
    <col min="12" max="16384" width="9.140625" style="1583"/>
  </cols>
  <sheetData>
    <row r="1" spans="1:9" ht="32.25" customHeight="1">
      <c r="A1" s="5045" t="s">
        <v>753</v>
      </c>
      <c r="B1" s="5045"/>
      <c r="C1" s="5045"/>
      <c r="D1" s="5045"/>
      <c r="E1" s="5045"/>
      <c r="F1" s="5045"/>
      <c r="G1" s="5045"/>
      <c r="H1" s="5045"/>
      <c r="I1" s="5045"/>
    </row>
    <row r="2" spans="1:9" ht="18.75" customHeight="1">
      <c r="A2" s="5045" t="s">
        <v>754</v>
      </c>
      <c r="B2" s="5045"/>
      <c r="C2" s="5045"/>
      <c r="D2" s="5045"/>
      <c r="E2" s="5045"/>
      <c r="F2" s="5045"/>
      <c r="G2" s="5045"/>
      <c r="H2" s="5045"/>
      <c r="I2" s="5045"/>
    </row>
    <row r="3" spans="1:9" ht="23.25" customHeight="1" thickBot="1">
      <c r="A3" s="5045"/>
      <c r="B3" s="5045"/>
      <c r="C3" s="5045"/>
      <c r="D3" s="5045"/>
      <c r="E3" s="5045"/>
      <c r="F3" s="5045"/>
      <c r="G3" s="5045"/>
      <c r="H3" s="5045"/>
      <c r="I3" s="5045"/>
    </row>
    <row r="4" spans="1:9" ht="68.25" customHeight="1" thickBot="1">
      <c r="A4" s="1584" t="s">
        <v>1</v>
      </c>
      <c r="B4" s="1585" t="s">
        <v>2</v>
      </c>
      <c r="C4" s="1586" t="s">
        <v>4</v>
      </c>
      <c r="D4" s="1585" t="s">
        <v>755</v>
      </c>
      <c r="E4" s="1587" t="s">
        <v>756</v>
      </c>
      <c r="F4" s="1587" t="s">
        <v>249</v>
      </c>
      <c r="G4" s="1588" t="s">
        <v>250</v>
      </c>
      <c r="H4" s="1589" t="s">
        <v>251</v>
      </c>
      <c r="I4" s="1590" t="s">
        <v>367</v>
      </c>
    </row>
    <row r="5" spans="1:9" ht="17.100000000000001" customHeight="1" thickBot="1">
      <c r="A5" s="1591" t="s">
        <v>253</v>
      </c>
      <c r="B5" s="1592" t="s">
        <v>254</v>
      </c>
      <c r="C5" s="1593" t="s">
        <v>255</v>
      </c>
      <c r="D5" s="1591" t="s">
        <v>256</v>
      </c>
      <c r="E5" s="1594" t="s">
        <v>257</v>
      </c>
      <c r="F5" s="1594" t="s">
        <v>257</v>
      </c>
      <c r="G5" s="1595" t="s">
        <v>258</v>
      </c>
      <c r="H5" s="1596" t="s">
        <v>757</v>
      </c>
      <c r="I5" s="1597" t="s">
        <v>260</v>
      </c>
    </row>
    <row r="6" spans="1:9" ht="17.100000000000001" customHeight="1" thickBot="1">
      <c r="A6" s="1598" t="s">
        <v>13</v>
      </c>
      <c r="B6" s="1599"/>
      <c r="C6" s="1600"/>
      <c r="D6" s="1601" t="s">
        <v>758</v>
      </c>
      <c r="E6" s="1602">
        <f>SUM(E7,E44,E69,E99,E137,E157,E153)</f>
        <v>37504842</v>
      </c>
      <c r="F6" s="1602">
        <f>SUM(F7,F44,F69,F99,F137,F157,F153)</f>
        <v>37566226</v>
      </c>
      <c r="G6" s="1603">
        <f>SUM(G7,G44,G69,G99,G137,G157,G153)</f>
        <v>45567152</v>
      </c>
      <c r="H6" s="1604">
        <f>SUM(H7,H44,H69,H99,H137,H157,H153)</f>
        <v>43320360.960000001</v>
      </c>
      <c r="I6" s="1605">
        <f>H6/G6</f>
        <v>0.95069274814454063</v>
      </c>
    </row>
    <row r="7" spans="1:9" ht="17.100000000000001" customHeight="1" thickBot="1">
      <c r="A7" s="1606"/>
      <c r="B7" s="1607" t="s">
        <v>368</v>
      </c>
      <c r="C7" s="1608"/>
      <c r="D7" s="1609" t="s">
        <v>759</v>
      </c>
      <c r="E7" s="1610">
        <f>E8+E41</f>
        <v>12091506</v>
      </c>
      <c r="F7" s="1610">
        <f t="shared" ref="F7:H7" si="0">F8+F41</f>
        <v>14644238</v>
      </c>
      <c r="G7" s="1611">
        <f t="shared" si="0"/>
        <v>15440198</v>
      </c>
      <c r="H7" s="1612">
        <f t="shared" si="0"/>
        <v>14943576.41</v>
      </c>
      <c r="I7" s="1613">
        <f t="shared" ref="I7:I71" si="1">H7/G7</f>
        <v>0.96783580171705053</v>
      </c>
    </row>
    <row r="8" spans="1:9" ht="17.100000000000001" customHeight="1">
      <c r="A8" s="1614"/>
      <c r="B8" s="4687"/>
      <c r="C8" s="4871" t="s">
        <v>760</v>
      </c>
      <c r="D8" s="4871"/>
      <c r="E8" s="1615">
        <f>E9+E38</f>
        <v>11881506</v>
      </c>
      <c r="F8" s="1615">
        <f t="shared" ref="F8:H8" si="2">F9+F38</f>
        <v>14402238</v>
      </c>
      <c r="G8" s="1616">
        <f t="shared" si="2"/>
        <v>15198198</v>
      </c>
      <c r="H8" s="1617">
        <f t="shared" si="2"/>
        <v>14943576.41</v>
      </c>
      <c r="I8" s="1618">
        <f t="shared" si="1"/>
        <v>0.98324659344482812</v>
      </c>
    </row>
    <row r="9" spans="1:9" ht="17.100000000000001" customHeight="1">
      <c r="A9" s="1614"/>
      <c r="B9" s="4687"/>
      <c r="C9" s="5046" t="s">
        <v>761</v>
      </c>
      <c r="D9" s="5046"/>
      <c r="E9" s="1619">
        <f>E10+E18</f>
        <v>11769961</v>
      </c>
      <c r="F9" s="1619">
        <f t="shared" ref="F9:H9" si="3">F10+F18</f>
        <v>14292950</v>
      </c>
      <c r="G9" s="1620">
        <f>G10+G18</f>
        <v>15062553</v>
      </c>
      <c r="H9" s="1621">
        <f t="shared" si="3"/>
        <v>14813468.529999999</v>
      </c>
      <c r="I9" s="1622">
        <f t="shared" si="1"/>
        <v>0.98346332988836616</v>
      </c>
    </row>
    <row r="10" spans="1:9" ht="17.100000000000001" customHeight="1">
      <c r="A10" s="1614"/>
      <c r="B10" s="4687"/>
      <c r="C10" s="5047" t="s">
        <v>762</v>
      </c>
      <c r="D10" s="5047"/>
      <c r="E10" s="1623">
        <f>SUM(E11:E16)</f>
        <v>9685573</v>
      </c>
      <c r="F10" s="1623">
        <f>SUM(F11:F16)</f>
        <v>11073182</v>
      </c>
      <c r="G10" s="1624">
        <f>SUM(G11:G16)</f>
        <v>11812617</v>
      </c>
      <c r="H10" s="1625">
        <f>SUM(H11:H16)</f>
        <v>11719530.719999999</v>
      </c>
      <c r="I10" s="1626">
        <f t="shared" si="1"/>
        <v>0.9921197580519201</v>
      </c>
    </row>
    <row r="11" spans="1:9" ht="17.100000000000001" customHeight="1">
      <c r="A11" s="1614"/>
      <c r="B11" s="1627"/>
      <c r="C11" s="1628" t="s">
        <v>61</v>
      </c>
      <c r="D11" s="1629" t="s">
        <v>763</v>
      </c>
      <c r="E11" s="1630">
        <v>7362519</v>
      </c>
      <c r="F11" s="1630">
        <v>8461200</v>
      </c>
      <c r="G11" s="1631">
        <v>9127345</v>
      </c>
      <c r="H11" s="1632">
        <v>9084335.3000000007</v>
      </c>
      <c r="I11" s="1622">
        <f t="shared" si="1"/>
        <v>0.99528781918509712</v>
      </c>
    </row>
    <row r="12" spans="1:9" ht="17.100000000000001" customHeight="1">
      <c r="A12" s="1614"/>
      <c r="B12" s="1627"/>
      <c r="C12" s="1633" t="s">
        <v>315</v>
      </c>
      <c r="D12" s="1634" t="s">
        <v>764</v>
      </c>
      <c r="E12" s="1635">
        <v>520333</v>
      </c>
      <c r="F12" s="1635">
        <v>649340</v>
      </c>
      <c r="G12" s="1631">
        <v>637940</v>
      </c>
      <c r="H12" s="1636">
        <v>637939.44999999995</v>
      </c>
      <c r="I12" s="1622">
        <f t="shared" si="1"/>
        <v>0.99999913784995442</v>
      </c>
    </row>
    <row r="13" spans="1:9" ht="17.100000000000001" customHeight="1">
      <c r="A13" s="1614"/>
      <c r="B13" s="1627"/>
      <c r="C13" s="1633" t="s">
        <v>62</v>
      </c>
      <c r="D13" s="1634" t="s">
        <v>765</v>
      </c>
      <c r="E13" s="1635">
        <v>1364478</v>
      </c>
      <c r="F13" s="1635">
        <v>1559820</v>
      </c>
      <c r="G13" s="1631">
        <v>1629348</v>
      </c>
      <c r="H13" s="1636">
        <v>1597074.18</v>
      </c>
      <c r="I13" s="1622">
        <f t="shared" si="1"/>
        <v>0.98019218730436952</v>
      </c>
    </row>
    <row r="14" spans="1:9" ht="26.25" customHeight="1">
      <c r="A14" s="1614"/>
      <c r="B14" s="1627"/>
      <c r="C14" s="1633" t="s">
        <v>63</v>
      </c>
      <c r="D14" s="1634" t="s">
        <v>766</v>
      </c>
      <c r="E14" s="1635">
        <v>147137</v>
      </c>
      <c r="F14" s="1635">
        <v>176822</v>
      </c>
      <c r="G14" s="1631">
        <v>192709</v>
      </c>
      <c r="H14" s="1636">
        <v>191843.61</v>
      </c>
      <c r="I14" s="1622">
        <f t="shared" si="1"/>
        <v>0.99550934310281303</v>
      </c>
    </row>
    <row r="15" spans="1:9" ht="26.25" customHeight="1">
      <c r="A15" s="1614"/>
      <c r="B15" s="1627"/>
      <c r="C15" s="1633" t="s">
        <v>324</v>
      </c>
      <c r="D15" s="1634" t="s">
        <v>767</v>
      </c>
      <c r="E15" s="1635">
        <v>145553</v>
      </c>
      <c r="F15" s="1635">
        <v>226000</v>
      </c>
      <c r="G15" s="1631">
        <v>175275</v>
      </c>
      <c r="H15" s="1636">
        <v>175275</v>
      </c>
      <c r="I15" s="1622">
        <f t="shared" si="1"/>
        <v>1</v>
      </c>
    </row>
    <row r="16" spans="1:9" ht="17.100000000000001" customHeight="1">
      <c r="A16" s="1614"/>
      <c r="B16" s="1627"/>
      <c r="C16" s="1633" t="s">
        <v>335</v>
      </c>
      <c r="D16" s="1634" t="s">
        <v>768</v>
      </c>
      <c r="E16" s="1635">
        <v>145553</v>
      </c>
      <c r="F16" s="1635">
        <v>0</v>
      </c>
      <c r="G16" s="1631">
        <v>50000</v>
      </c>
      <c r="H16" s="1636">
        <v>33063.18</v>
      </c>
      <c r="I16" s="1622">
        <f t="shared" si="1"/>
        <v>0.66126359999999995</v>
      </c>
    </row>
    <row r="17" spans="1:13" ht="17.100000000000001" customHeight="1">
      <c r="A17" s="1614"/>
      <c r="B17" s="1627"/>
      <c r="C17" s="1637"/>
      <c r="D17" s="1637"/>
      <c r="E17" s="1638"/>
      <c r="F17" s="1638"/>
      <c r="G17" s="1631"/>
      <c r="H17" s="1636"/>
      <c r="I17" s="1622"/>
    </row>
    <row r="18" spans="1:13" ht="17.100000000000001" customHeight="1">
      <c r="A18" s="1614"/>
      <c r="B18" s="1627"/>
      <c r="C18" s="5052" t="s">
        <v>769</v>
      </c>
      <c r="D18" s="5052"/>
      <c r="E18" s="1640">
        <f>SUM(E19:E36)</f>
        <v>2084388</v>
      </c>
      <c r="F18" s="1640">
        <f>SUM(F19:F36)</f>
        <v>3219768</v>
      </c>
      <c r="G18" s="1641">
        <f t="shared" ref="G18:H18" si="4">SUM(G19:G36)</f>
        <v>3249936</v>
      </c>
      <c r="H18" s="1642">
        <f t="shared" si="4"/>
        <v>3093937.8100000005</v>
      </c>
      <c r="I18" s="1626">
        <f t="shared" si="1"/>
        <v>0.95199961168466107</v>
      </c>
    </row>
    <row r="19" spans="1:13" ht="26.25" customHeight="1">
      <c r="A19" s="1614"/>
      <c r="B19" s="1627"/>
      <c r="C19" s="1633" t="s">
        <v>332</v>
      </c>
      <c r="D19" s="1634" t="s">
        <v>770</v>
      </c>
      <c r="E19" s="1635">
        <v>95000</v>
      </c>
      <c r="F19" s="1635">
        <v>120000</v>
      </c>
      <c r="G19" s="1631">
        <v>125720</v>
      </c>
      <c r="H19" s="1636">
        <v>125626</v>
      </c>
      <c r="I19" s="1622">
        <f t="shared" si="1"/>
        <v>0.99925230671333121</v>
      </c>
      <c r="M19" s="1643"/>
    </row>
    <row r="20" spans="1:13" ht="17.100000000000001" customHeight="1">
      <c r="A20" s="1614"/>
      <c r="B20" s="1627"/>
      <c r="C20" s="1633" t="s">
        <v>22</v>
      </c>
      <c r="D20" s="1634" t="s">
        <v>771</v>
      </c>
      <c r="E20" s="1635">
        <v>896907</v>
      </c>
      <c r="F20" s="1635">
        <v>1785880</v>
      </c>
      <c r="G20" s="1631">
        <v>1849889</v>
      </c>
      <c r="H20" s="1636">
        <v>1795517.09</v>
      </c>
      <c r="I20" s="1622">
        <f t="shared" si="1"/>
        <v>0.97060801485926995</v>
      </c>
    </row>
    <row r="21" spans="1:13" ht="17.100000000000001" customHeight="1">
      <c r="A21" s="1614"/>
      <c r="B21" s="1627"/>
      <c r="C21" s="1633" t="s">
        <v>326</v>
      </c>
      <c r="D21" s="1634" t="s">
        <v>772</v>
      </c>
      <c r="E21" s="1635">
        <v>4000</v>
      </c>
      <c r="F21" s="1635">
        <v>6500</v>
      </c>
      <c r="G21" s="1631">
        <v>6500</v>
      </c>
      <c r="H21" s="1636">
        <v>6495.67</v>
      </c>
      <c r="I21" s="1622">
        <f t="shared" si="1"/>
        <v>0.99933384615384613</v>
      </c>
    </row>
    <row r="22" spans="1:13" ht="17.100000000000001" customHeight="1">
      <c r="A22" s="1614"/>
      <c r="B22" s="1627"/>
      <c r="C22" s="1633" t="s">
        <v>316</v>
      </c>
      <c r="D22" s="1634" t="s">
        <v>773</v>
      </c>
      <c r="E22" s="1635">
        <v>114035</v>
      </c>
      <c r="F22" s="1635">
        <v>160000</v>
      </c>
      <c r="G22" s="1631">
        <v>125000</v>
      </c>
      <c r="H22" s="1636">
        <v>122660.75</v>
      </c>
      <c r="I22" s="1622">
        <f t="shared" si="1"/>
        <v>0.98128599999999999</v>
      </c>
    </row>
    <row r="23" spans="1:13" ht="17.100000000000001" customHeight="1">
      <c r="A23" s="1614"/>
      <c r="B23" s="1627"/>
      <c r="C23" s="1633" t="s">
        <v>87</v>
      </c>
      <c r="D23" s="1634" t="s">
        <v>774</v>
      </c>
      <c r="E23" s="1635">
        <v>104072</v>
      </c>
      <c r="F23" s="1635">
        <v>158500</v>
      </c>
      <c r="G23" s="1631">
        <v>205500</v>
      </c>
      <c r="H23" s="1636">
        <v>203680.63</v>
      </c>
      <c r="I23" s="1622">
        <f t="shared" si="1"/>
        <v>0.99114661800486625</v>
      </c>
    </row>
    <row r="24" spans="1:13" ht="17.100000000000001" customHeight="1">
      <c r="A24" s="1614"/>
      <c r="B24" s="1627"/>
      <c r="C24" s="1633" t="s">
        <v>317</v>
      </c>
      <c r="D24" s="1634" t="s">
        <v>775</v>
      </c>
      <c r="E24" s="1635">
        <v>14000</v>
      </c>
      <c r="F24" s="1635">
        <v>22600</v>
      </c>
      <c r="G24" s="1631">
        <v>9504</v>
      </c>
      <c r="H24" s="1636">
        <v>9504</v>
      </c>
      <c r="I24" s="1622">
        <f t="shared" si="1"/>
        <v>1</v>
      </c>
    </row>
    <row r="25" spans="1:13" ht="17.100000000000001" customHeight="1">
      <c r="A25" s="1614"/>
      <c r="B25" s="1627"/>
      <c r="C25" s="1633" t="s">
        <v>23</v>
      </c>
      <c r="D25" s="1634" t="s">
        <v>776</v>
      </c>
      <c r="E25" s="1635">
        <v>302392</v>
      </c>
      <c r="F25" s="1635">
        <v>321690</v>
      </c>
      <c r="G25" s="1631">
        <v>321690</v>
      </c>
      <c r="H25" s="1636">
        <v>286734.46999999997</v>
      </c>
      <c r="I25" s="1622">
        <f t="shared" si="1"/>
        <v>0.89133784077838907</v>
      </c>
    </row>
    <row r="26" spans="1:13" ht="16.5" customHeight="1">
      <c r="A26" s="1614"/>
      <c r="B26" s="1627"/>
      <c r="C26" s="1633" t="s">
        <v>318</v>
      </c>
      <c r="D26" s="1634" t="s">
        <v>777</v>
      </c>
      <c r="E26" s="1635">
        <v>40380</v>
      </c>
      <c r="F26" s="1635">
        <v>43677</v>
      </c>
      <c r="G26" s="1631">
        <v>38677</v>
      </c>
      <c r="H26" s="1636">
        <v>36624.06</v>
      </c>
      <c r="I26" s="1622">
        <f t="shared" si="1"/>
        <v>0.94692090906740434</v>
      </c>
    </row>
    <row r="27" spans="1:13" ht="16.5" customHeight="1" thickBot="1">
      <c r="A27" s="1644"/>
      <c r="B27" s="1645"/>
      <c r="C27" s="1646" t="s">
        <v>327</v>
      </c>
      <c r="D27" s="1647" t="s">
        <v>778</v>
      </c>
      <c r="E27" s="1648">
        <v>7000</v>
      </c>
      <c r="F27" s="1648">
        <v>10289</v>
      </c>
      <c r="G27" s="1649">
        <v>25473</v>
      </c>
      <c r="H27" s="1650">
        <v>25472.65</v>
      </c>
      <c r="I27" s="1651">
        <f t="shared" si="1"/>
        <v>0.9999862599615279</v>
      </c>
    </row>
    <row r="28" spans="1:13" ht="30" customHeight="1">
      <c r="A28" s="1606"/>
      <c r="B28" s="1652"/>
      <c r="C28" s="1653" t="s">
        <v>779</v>
      </c>
      <c r="D28" s="1654" t="s">
        <v>780</v>
      </c>
      <c r="E28" s="1655">
        <v>188678</v>
      </c>
      <c r="F28" s="1655">
        <v>213500</v>
      </c>
      <c r="G28" s="1656">
        <v>188208</v>
      </c>
      <c r="H28" s="1657">
        <v>188120.06</v>
      </c>
      <c r="I28" s="1658">
        <f t="shared" si="1"/>
        <v>0.99953275099889483</v>
      </c>
    </row>
    <row r="29" spans="1:13" ht="17.100000000000001" customHeight="1">
      <c r="A29" s="1614"/>
      <c r="B29" s="1627"/>
      <c r="C29" s="1659" t="s">
        <v>328</v>
      </c>
      <c r="D29" s="1660" t="s">
        <v>781</v>
      </c>
      <c r="E29" s="1661">
        <v>20000</v>
      </c>
      <c r="F29" s="1661">
        <v>19300</v>
      </c>
      <c r="G29" s="1662">
        <v>862</v>
      </c>
      <c r="H29" s="1663">
        <v>860.98</v>
      </c>
      <c r="I29" s="1664">
        <f t="shared" si="1"/>
        <v>0.99881670533642697</v>
      </c>
    </row>
    <row r="30" spans="1:13" ht="17.100000000000001" customHeight="1">
      <c r="A30" s="1614"/>
      <c r="B30" s="1627"/>
      <c r="C30" s="1633" t="s">
        <v>333</v>
      </c>
      <c r="D30" s="1634" t="s">
        <v>782</v>
      </c>
      <c r="E30" s="1635">
        <v>110806</v>
      </c>
      <c r="F30" s="1635">
        <v>123400</v>
      </c>
      <c r="G30" s="1631">
        <v>123400</v>
      </c>
      <c r="H30" s="1636">
        <v>63729.21</v>
      </c>
      <c r="I30" s="1664">
        <f t="shared" si="1"/>
        <v>0.51644416531604542</v>
      </c>
    </row>
    <row r="31" spans="1:13" ht="17.100000000000001" customHeight="1">
      <c r="A31" s="1614"/>
      <c r="B31" s="1627"/>
      <c r="C31" s="1633" t="s">
        <v>319</v>
      </c>
      <c r="D31" s="1634" t="s">
        <v>783</v>
      </c>
      <c r="E31" s="1635">
        <v>154892</v>
      </c>
      <c r="F31" s="1635">
        <v>190682</v>
      </c>
      <c r="G31" s="1631">
        <v>187008</v>
      </c>
      <c r="H31" s="1636">
        <v>187008</v>
      </c>
      <c r="I31" s="1664">
        <f t="shared" si="1"/>
        <v>1</v>
      </c>
    </row>
    <row r="32" spans="1:13" ht="17.100000000000001" customHeight="1">
      <c r="A32" s="1614"/>
      <c r="B32" s="1627"/>
      <c r="C32" s="1633" t="s">
        <v>320</v>
      </c>
      <c r="D32" s="1634" t="s">
        <v>784</v>
      </c>
      <c r="E32" s="1635">
        <v>7213</v>
      </c>
      <c r="F32" s="1635">
        <v>11500</v>
      </c>
      <c r="G32" s="1631">
        <v>9483</v>
      </c>
      <c r="H32" s="1636">
        <v>9483</v>
      </c>
      <c r="I32" s="1664">
        <f t="shared" si="1"/>
        <v>1</v>
      </c>
    </row>
    <row r="33" spans="1:9" ht="17.100000000000001" customHeight="1">
      <c r="A33" s="1614"/>
      <c r="B33" s="1627"/>
      <c r="C33" s="1633" t="s">
        <v>785</v>
      </c>
      <c r="D33" s="1634" t="s">
        <v>786</v>
      </c>
      <c r="E33" s="1635">
        <v>2500</v>
      </c>
      <c r="F33" s="1635">
        <v>1000</v>
      </c>
      <c r="G33" s="1631">
        <v>0</v>
      </c>
      <c r="H33" s="1636">
        <v>0</v>
      </c>
      <c r="I33" s="1664" t="e">
        <f t="shared" si="1"/>
        <v>#DIV/0!</v>
      </c>
    </row>
    <row r="34" spans="1:9" ht="17.100000000000001" customHeight="1">
      <c r="A34" s="1614"/>
      <c r="B34" s="1627"/>
      <c r="C34" s="1633" t="s">
        <v>334</v>
      </c>
      <c r="D34" s="1634" t="s">
        <v>787</v>
      </c>
      <c r="E34" s="1635">
        <v>4513</v>
      </c>
      <c r="F34" s="1635">
        <v>6000</v>
      </c>
      <c r="G34" s="1631">
        <v>2531</v>
      </c>
      <c r="H34" s="1636">
        <v>2531</v>
      </c>
      <c r="I34" s="1664">
        <f t="shared" si="1"/>
        <v>1</v>
      </c>
    </row>
    <row r="35" spans="1:9" ht="17.100000000000001" customHeight="1">
      <c r="A35" s="1614"/>
      <c r="B35" s="1627"/>
      <c r="C35" s="1633" t="s">
        <v>788</v>
      </c>
      <c r="D35" s="1634" t="s">
        <v>789</v>
      </c>
      <c r="E35" s="1635">
        <v>0</v>
      </c>
      <c r="F35" s="1635">
        <v>0</v>
      </c>
      <c r="G35" s="1631">
        <v>3801</v>
      </c>
      <c r="H35" s="1636">
        <v>3801</v>
      </c>
      <c r="I35" s="1664">
        <f t="shared" si="1"/>
        <v>1</v>
      </c>
    </row>
    <row r="36" spans="1:9" ht="28.5" customHeight="1">
      <c r="A36" s="1614"/>
      <c r="B36" s="1627"/>
      <c r="C36" s="1633" t="s">
        <v>64</v>
      </c>
      <c r="D36" s="1634" t="s">
        <v>790</v>
      </c>
      <c r="E36" s="1635">
        <v>18000</v>
      </c>
      <c r="F36" s="1635">
        <v>25250</v>
      </c>
      <c r="G36" s="1631">
        <v>26690</v>
      </c>
      <c r="H36" s="1636">
        <v>26089.24</v>
      </c>
      <c r="I36" s="1664">
        <f t="shared" si="1"/>
        <v>0.97749119520419636</v>
      </c>
    </row>
    <row r="37" spans="1:9" ht="17.100000000000001" customHeight="1">
      <c r="A37" s="1614"/>
      <c r="B37" s="1627"/>
      <c r="C37" s="5043"/>
      <c r="D37" s="5043"/>
      <c r="E37" s="1638"/>
      <c r="F37" s="1638"/>
      <c r="G37" s="1631"/>
      <c r="H37" s="1636"/>
      <c r="I37" s="1664"/>
    </row>
    <row r="38" spans="1:9" ht="17.100000000000001" customHeight="1">
      <c r="A38" s="1614"/>
      <c r="B38" s="1627"/>
      <c r="C38" s="5053" t="s">
        <v>791</v>
      </c>
      <c r="D38" s="5053"/>
      <c r="E38" s="1635">
        <f t="shared" ref="E38:H38" si="5">E39</f>
        <v>111545</v>
      </c>
      <c r="F38" s="1635">
        <f t="shared" si="5"/>
        <v>109288</v>
      </c>
      <c r="G38" s="1665">
        <f t="shared" si="5"/>
        <v>135645</v>
      </c>
      <c r="H38" s="1636">
        <f t="shared" si="5"/>
        <v>130107.88</v>
      </c>
      <c r="I38" s="1664">
        <f t="shared" si="1"/>
        <v>0.95917932839396958</v>
      </c>
    </row>
    <row r="39" spans="1:9" ht="17.100000000000001" customHeight="1">
      <c r="A39" s="1614"/>
      <c r="B39" s="1627"/>
      <c r="C39" s="1666" t="s">
        <v>314</v>
      </c>
      <c r="D39" s="1667" t="s">
        <v>792</v>
      </c>
      <c r="E39" s="1635">
        <v>111545</v>
      </c>
      <c r="F39" s="1635">
        <v>109288</v>
      </c>
      <c r="G39" s="1631">
        <v>135645</v>
      </c>
      <c r="H39" s="1636">
        <v>130107.88</v>
      </c>
      <c r="I39" s="1664">
        <f t="shared" si="1"/>
        <v>0.95917932839396958</v>
      </c>
    </row>
    <row r="40" spans="1:9" ht="17.100000000000001" customHeight="1">
      <c r="A40" s="1614"/>
      <c r="B40" s="1627"/>
      <c r="C40" s="5054"/>
      <c r="D40" s="5055"/>
      <c r="E40" s="1668"/>
      <c r="F40" s="1668"/>
      <c r="G40" s="1631"/>
      <c r="H40" s="1636"/>
      <c r="I40" s="1664"/>
    </row>
    <row r="41" spans="1:9" ht="17.100000000000001" customHeight="1">
      <c r="A41" s="1614"/>
      <c r="B41" s="1627"/>
      <c r="C41" s="5056" t="s">
        <v>793</v>
      </c>
      <c r="D41" s="5057"/>
      <c r="E41" s="1669">
        <f t="shared" ref="E41:H41" si="6">E42</f>
        <v>210000</v>
      </c>
      <c r="F41" s="1669">
        <f t="shared" si="6"/>
        <v>242000</v>
      </c>
      <c r="G41" s="1670">
        <f t="shared" si="6"/>
        <v>242000</v>
      </c>
      <c r="H41" s="1671">
        <f t="shared" si="6"/>
        <v>0</v>
      </c>
      <c r="I41" s="1672">
        <f t="shared" si="1"/>
        <v>0</v>
      </c>
    </row>
    <row r="42" spans="1:9" ht="17.100000000000001" customHeight="1">
      <c r="A42" s="1614"/>
      <c r="B42" s="1627"/>
      <c r="C42" s="5058" t="s">
        <v>794</v>
      </c>
      <c r="D42" s="5058"/>
      <c r="E42" s="1673">
        <f t="shared" ref="E42:H42" si="7">SUM(E43:E43)</f>
        <v>210000</v>
      </c>
      <c r="F42" s="1673">
        <f t="shared" si="7"/>
        <v>242000</v>
      </c>
      <c r="G42" s="1674">
        <f>SUM(G43:G43)</f>
        <v>242000</v>
      </c>
      <c r="H42" s="1675">
        <f t="shared" si="7"/>
        <v>0</v>
      </c>
      <c r="I42" s="1664">
        <f t="shared" si="1"/>
        <v>0</v>
      </c>
    </row>
    <row r="43" spans="1:9" ht="17.100000000000001" customHeight="1" thickBot="1">
      <c r="A43" s="1614"/>
      <c r="B43" s="1627"/>
      <c r="C43" s="1676" t="s">
        <v>24</v>
      </c>
      <c r="D43" s="1677" t="s">
        <v>795</v>
      </c>
      <c r="E43" s="1678">
        <v>210000</v>
      </c>
      <c r="F43" s="1678">
        <v>242000</v>
      </c>
      <c r="G43" s="1679">
        <v>242000</v>
      </c>
      <c r="H43" s="1636">
        <v>0</v>
      </c>
      <c r="I43" s="1664">
        <f t="shared" si="1"/>
        <v>0</v>
      </c>
    </row>
    <row r="44" spans="1:9" ht="17.100000000000001" hidden="1" customHeight="1" thickBot="1">
      <c r="A44" s="1614"/>
      <c r="B44" s="1680" t="s">
        <v>796</v>
      </c>
      <c r="C44" s="1681"/>
      <c r="D44" s="1682" t="s">
        <v>797</v>
      </c>
      <c r="E44" s="1683">
        <f>E45</f>
        <v>0</v>
      </c>
      <c r="F44" s="1683">
        <f t="shared" ref="F44" si="8">F45</f>
        <v>0</v>
      </c>
      <c r="G44" s="1679"/>
      <c r="H44" s="1636"/>
      <c r="I44" s="1664" t="e">
        <f t="shared" si="1"/>
        <v>#DIV/0!</v>
      </c>
    </row>
    <row r="45" spans="1:9" ht="17.100000000000001" hidden="1" customHeight="1">
      <c r="A45" s="1614"/>
      <c r="B45" s="1684"/>
      <c r="C45" s="5037" t="s">
        <v>760</v>
      </c>
      <c r="D45" s="5037"/>
      <c r="E45" s="1615">
        <f>E46+E67</f>
        <v>0</v>
      </c>
      <c r="F45" s="1615">
        <f t="shared" ref="F45" si="9">F46+F67</f>
        <v>0</v>
      </c>
      <c r="G45" s="1679"/>
      <c r="H45" s="1636"/>
      <c r="I45" s="1664" t="e">
        <f t="shared" si="1"/>
        <v>#DIV/0!</v>
      </c>
    </row>
    <row r="46" spans="1:9" ht="17.100000000000001" hidden="1" customHeight="1">
      <c r="A46" s="1614"/>
      <c r="B46" s="1627"/>
      <c r="C46" s="5038" t="s">
        <v>761</v>
      </c>
      <c r="D46" s="5038"/>
      <c r="E46" s="1673">
        <f>E47+E54</f>
        <v>0</v>
      </c>
      <c r="F46" s="1673">
        <f t="shared" ref="F46" si="10">F47+F54</f>
        <v>0</v>
      </c>
      <c r="G46" s="1631"/>
      <c r="H46" s="1675"/>
      <c r="I46" s="1622" t="e">
        <f t="shared" si="1"/>
        <v>#DIV/0!</v>
      </c>
    </row>
    <row r="47" spans="1:9" ht="17.100000000000001" hidden="1" customHeight="1">
      <c r="A47" s="1614"/>
      <c r="B47" s="1627"/>
      <c r="C47" s="5039" t="s">
        <v>762</v>
      </c>
      <c r="D47" s="5039"/>
      <c r="E47" s="1685">
        <f t="shared" ref="E47:F47" si="11">SUM(E48:E52)</f>
        <v>0</v>
      </c>
      <c r="F47" s="1685">
        <f t="shared" si="11"/>
        <v>0</v>
      </c>
      <c r="G47" s="1631"/>
      <c r="H47" s="1675"/>
      <c r="I47" s="1622" t="e">
        <f t="shared" si="1"/>
        <v>#DIV/0!</v>
      </c>
    </row>
    <row r="48" spans="1:9" ht="16.5" hidden="1" customHeight="1">
      <c r="A48" s="1614"/>
      <c r="B48" s="1627"/>
      <c r="C48" s="1686" t="s">
        <v>61</v>
      </c>
      <c r="D48" s="1687" t="s">
        <v>763</v>
      </c>
      <c r="E48" s="1673">
        <v>0</v>
      </c>
      <c r="F48" s="1673">
        <v>0</v>
      </c>
      <c r="G48" s="1631"/>
      <c r="H48" s="1675"/>
      <c r="I48" s="1622" t="e">
        <f t="shared" si="1"/>
        <v>#DIV/0!</v>
      </c>
    </row>
    <row r="49" spans="1:9" ht="17.100000000000001" hidden="1" customHeight="1">
      <c r="A49" s="1614"/>
      <c r="B49" s="1627"/>
      <c r="C49" s="1686" t="s">
        <v>315</v>
      </c>
      <c r="D49" s="1687" t="s">
        <v>764</v>
      </c>
      <c r="E49" s="1673"/>
      <c r="F49" s="1673">
        <v>0</v>
      </c>
      <c r="G49" s="1631"/>
      <c r="H49" s="1675"/>
      <c r="I49" s="1622" t="e">
        <f t="shared" si="1"/>
        <v>#DIV/0!</v>
      </c>
    </row>
    <row r="50" spans="1:9" ht="17.100000000000001" hidden="1" customHeight="1">
      <c r="A50" s="1614"/>
      <c r="B50" s="1627"/>
      <c r="C50" s="1686" t="s">
        <v>62</v>
      </c>
      <c r="D50" s="1687" t="s">
        <v>765</v>
      </c>
      <c r="E50" s="1673"/>
      <c r="F50" s="1673">
        <v>0</v>
      </c>
      <c r="G50" s="1631"/>
      <c r="H50" s="1675"/>
      <c r="I50" s="1622" t="e">
        <f t="shared" si="1"/>
        <v>#DIV/0!</v>
      </c>
    </row>
    <row r="51" spans="1:9" ht="17.100000000000001" hidden="1" customHeight="1">
      <c r="A51" s="1614"/>
      <c r="B51" s="1627"/>
      <c r="C51" s="1686" t="s">
        <v>63</v>
      </c>
      <c r="D51" s="1687" t="s">
        <v>798</v>
      </c>
      <c r="E51" s="1673"/>
      <c r="F51" s="1673">
        <v>0</v>
      </c>
      <c r="G51" s="1631"/>
      <c r="H51" s="1675"/>
      <c r="I51" s="1622" t="e">
        <f t="shared" si="1"/>
        <v>#DIV/0!</v>
      </c>
    </row>
    <row r="52" spans="1:9" ht="17.100000000000001" hidden="1" customHeight="1">
      <c r="A52" s="1614"/>
      <c r="B52" s="1627"/>
      <c r="C52" s="1686" t="s">
        <v>324</v>
      </c>
      <c r="D52" s="1687" t="s">
        <v>767</v>
      </c>
      <c r="E52" s="1673"/>
      <c r="F52" s="1673">
        <v>0</v>
      </c>
      <c r="G52" s="1631"/>
      <c r="H52" s="1675"/>
      <c r="I52" s="1622" t="e">
        <f t="shared" si="1"/>
        <v>#DIV/0!</v>
      </c>
    </row>
    <row r="53" spans="1:9" ht="17.100000000000001" hidden="1" customHeight="1">
      <c r="A53" s="1614"/>
      <c r="B53" s="1627"/>
      <c r="C53" s="1688"/>
      <c r="D53" s="1688"/>
      <c r="E53" s="1689"/>
      <c r="F53" s="1689"/>
      <c r="G53" s="1631"/>
      <c r="H53" s="1675"/>
      <c r="I53" s="1622" t="e">
        <f t="shared" si="1"/>
        <v>#DIV/0!</v>
      </c>
    </row>
    <row r="54" spans="1:9" ht="17.100000000000001" hidden="1" customHeight="1">
      <c r="A54" s="1614"/>
      <c r="B54" s="1627"/>
      <c r="C54" s="5040" t="s">
        <v>769</v>
      </c>
      <c r="D54" s="5040"/>
      <c r="E54" s="1685">
        <f>SUM(E55:E65)</f>
        <v>0</v>
      </c>
      <c r="F54" s="1685">
        <f t="shared" ref="F54" si="12">SUM(F55:F65)</f>
        <v>0</v>
      </c>
      <c r="G54" s="1631"/>
      <c r="H54" s="1675"/>
      <c r="I54" s="1622" t="e">
        <f t="shared" si="1"/>
        <v>#DIV/0!</v>
      </c>
    </row>
    <row r="55" spans="1:9" ht="17.100000000000001" hidden="1" customHeight="1">
      <c r="A55" s="1614"/>
      <c r="B55" s="1627"/>
      <c r="C55" s="1686" t="s">
        <v>22</v>
      </c>
      <c r="D55" s="1687" t="s">
        <v>771</v>
      </c>
      <c r="E55" s="1673"/>
      <c r="F55" s="1673">
        <v>0</v>
      </c>
      <c r="G55" s="1631"/>
      <c r="H55" s="1675"/>
      <c r="I55" s="1622" t="e">
        <f t="shared" si="1"/>
        <v>#DIV/0!</v>
      </c>
    </row>
    <row r="56" spans="1:9" ht="17.100000000000001" hidden="1" customHeight="1">
      <c r="A56" s="1614"/>
      <c r="B56" s="1627"/>
      <c r="C56" s="1686" t="s">
        <v>316</v>
      </c>
      <c r="D56" s="1687" t="s">
        <v>773</v>
      </c>
      <c r="E56" s="1673"/>
      <c r="F56" s="1673">
        <v>0</v>
      </c>
      <c r="G56" s="1631"/>
      <c r="H56" s="1675"/>
      <c r="I56" s="1622" t="e">
        <f t="shared" si="1"/>
        <v>#DIV/0!</v>
      </c>
    </row>
    <row r="57" spans="1:9" ht="17.100000000000001" hidden="1" customHeight="1">
      <c r="A57" s="1614"/>
      <c r="B57" s="1627"/>
      <c r="C57" s="1686" t="s">
        <v>87</v>
      </c>
      <c r="D57" s="1687" t="s">
        <v>774</v>
      </c>
      <c r="E57" s="1673"/>
      <c r="F57" s="1673">
        <v>0</v>
      </c>
      <c r="G57" s="1631"/>
      <c r="H57" s="1675"/>
      <c r="I57" s="1622" t="e">
        <f t="shared" si="1"/>
        <v>#DIV/0!</v>
      </c>
    </row>
    <row r="58" spans="1:9" ht="17.100000000000001" hidden="1" customHeight="1">
      <c r="A58" s="1614"/>
      <c r="B58" s="1627"/>
      <c r="C58" s="1686" t="s">
        <v>23</v>
      </c>
      <c r="D58" s="1687" t="s">
        <v>776</v>
      </c>
      <c r="E58" s="1673"/>
      <c r="F58" s="1673">
        <v>0</v>
      </c>
      <c r="G58" s="1631"/>
      <c r="H58" s="1675"/>
      <c r="I58" s="1622" t="e">
        <f t="shared" si="1"/>
        <v>#DIV/0!</v>
      </c>
    </row>
    <row r="59" spans="1:9" ht="16.5" hidden="1" customHeight="1">
      <c r="A59" s="1614"/>
      <c r="B59" s="1627"/>
      <c r="C59" s="1686" t="s">
        <v>318</v>
      </c>
      <c r="D59" s="1687" t="s">
        <v>777</v>
      </c>
      <c r="E59" s="1673"/>
      <c r="F59" s="1673">
        <v>0</v>
      </c>
      <c r="G59" s="1631"/>
      <c r="H59" s="1675"/>
      <c r="I59" s="1622" t="e">
        <f t="shared" si="1"/>
        <v>#DIV/0!</v>
      </c>
    </row>
    <row r="60" spans="1:9" ht="27.75" hidden="1" customHeight="1">
      <c r="A60" s="1614"/>
      <c r="B60" s="1627"/>
      <c r="C60" s="1686" t="s">
        <v>779</v>
      </c>
      <c r="D60" s="1687" t="s">
        <v>780</v>
      </c>
      <c r="E60" s="1673"/>
      <c r="F60" s="1673">
        <v>0</v>
      </c>
      <c r="G60" s="1631"/>
      <c r="H60" s="1675"/>
      <c r="I60" s="1622" t="e">
        <f t="shared" si="1"/>
        <v>#DIV/0!</v>
      </c>
    </row>
    <row r="61" spans="1:9" ht="17.100000000000001" hidden="1" customHeight="1">
      <c r="A61" s="1614"/>
      <c r="B61" s="1627"/>
      <c r="C61" s="1686" t="s">
        <v>328</v>
      </c>
      <c r="D61" s="1687" t="s">
        <v>781</v>
      </c>
      <c r="E61" s="1673"/>
      <c r="F61" s="1673">
        <v>0</v>
      </c>
      <c r="G61" s="1631"/>
      <c r="H61" s="1675"/>
      <c r="I61" s="1622" t="e">
        <f t="shared" si="1"/>
        <v>#DIV/0!</v>
      </c>
    </row>
    <row r="62" spans="1:9" ht="17.100000000000001" hidden="1" customHeight="1">
      <c r="A62" s="1614"/>
      <c r="B62" s="1627"/>
      <c r="C62" s="1690" t="s">
        <v>333</v>
      </c>
      <c r="D62" s="1691" t="s">
        <v>782</v>
      </c>
      <c r="E62" s="1673"/>
      <c r="F62" s="1673">
        <v>0</v>
      </c>
      <c r="G62" s="1631"/>
      <c r="H62" s="1675"/>
      <c r="I62" s="1664" t="e">
        <f t="shared" si="1"/>
        <v>#DIV/0!</v>
      </c>
    </row>
    <row r="63" spans="1:9" ht="17.100000000000001" hidden="1" customHeight="1">
      <c r="A63" s="1614"/>
      <c r="B63" s="1627"/>
      <c r="C63" s="1690" t="s">
        <v>320</v>
      </c>
      <c r="D63" s="1691" t="s">
        <v>784</v>
      </c>
      <c r="E63" s="1673"/>
      <c r="F63" s="1673">
        <v>0</v>
      </c>
      <c r="G63" s="1631"/>
      <c r="H63" s="1675"/>
      <c r="I63" s="1664" t="e">
        <f t="shared" si="1"/>
        <v>#DIV/0!</v>
      </c>
    </row>
    <row r="64" spans="1:9" ht="17.100000000000001" hidden="1" customHeight="1">
      <c r="A64" s="1614"/>
      <c r="B64" s="1627"/>
      <c r="C64" s="1692" t="s">
        <v>334</v>
      </c>
      <c r="D64" s="1693" t="s">
        <v>787</v>
      </c>
      <c r="E64" s="1673"/>
      <c r="F64" s="1673">
        <v>0</v>
      </c>
      <c r="G64" s="1694"/>
      <c r="H64" s="1675"/>
      <c r="I64" s="1664" t="e">
        <f t="shared" si="1"/>
        <v>#DIV/0!</v>
      </c>
    </row>
    <row r="65" spans="1:9" ht="17.100000000000001" hidden="1" customHeight="1">
      <c r="A65" s="1614"/>
      <c r="B65" s="1627"/>
      <c r="C65" s="1690" t="s">
        <v>64</v>
      </c>
      <c r="D65" s="1691" t="s">
        <v>790</v>
      </c>
      <c r="E65" s="1673"/>
      <c r="F65" s="1673">
        <v>0</v>
      </c>
      <c r="G65" s="1694"/>
      <c r="H65" s="1675"/>
      <c r="I65" s="1664" t="e">
        <f t="shared" si="1"/>
        <v>#DIV/0!</v>
      </c>
    </row>
    <row r="66" spans="1:9" ht="17.100000000000001" hidden="1" customHeight="1">
      <c r="A66" s="1614"/>
      <c r="B66" s="1627"/>
      <c r="C66" s="1695"/>
      <c r="D66" s="1696"/>
      <c r="E66" s="1668"/>
      <c r="F66" s="1668"/>
      <c r="G66" s="1694"/>
      <c r="H66" s="1675"/>
      <c r="I66" s="1664" t="e">
        <f t="shared" si="1"/>
        <v>#DIV/0!</v>
      </c>
    </row>
    <row r="67" spans="1:9" ht="17.100000000000001" hidden="1" customHeight="1">
      <c r="A67" s="1614"/>
      <c r="B67" s="1627"/>
      <c r="C67" s="5041" t="s">
        <v>791</v>
      </c>
      <c r="D67" s="5041"/>
      <c r="E67" s="1697">
        <f t="shared" ref="E67:F67" si="13">E68</f>
        <v>0</v>
      </c>
      <c r="F67" s="1697">
        <f t="shared" si="13"/>
        <v>0</v>
      </c>
      <c r="G67" s="1631"/>
      <c r="H67" s="1698"/>
      <c r="I67" s="1664" t="e">
        <f t="shared" si="1"/>
        <v>#DIV/0!</v>
      </c>
    </row>
    <row r="68" spans="1:9" ht="17.100000000000001" hidden="1" customHeight="1" thickBot="1">
      <c r="A68" s="1614"/>
      <c r="B68" s="1627"/>
      <c r="C68" s="1699" t="s">
        <v>314</v>
      </c>
      <c r="D68" s="1700" t="s">
        <v>792</v>
      </c>
      <c r="E68" s="1697"/>
      <c r="F68" s="1697">
        <v>0</v>
      </c>
      <c r="G68" s="1631"/>
      <c r="H68" s="1698"/>
      <c r="I68" s="1664" t="e">
        <f t="shared" si="1"/>
        <v>#DIV/0!</v>
      </c>
    </row>
    <row r="69" spans="1:9" ht="17.100000000000001" hidden="1" customHeight="1" thickBot="1">
      <c r="A69" s="1614"/>
      <c r="B69" s="1680" t="s">
        <v>311</v>
      </c>
      <c r="C69" s="1681"/>
      <c r="D69" s="1682" t="s">
        <v>312</v>
      </c>
      <c r="E69" s="1610">
        <f>E70+E92</f>
        <v>0</v>
      </c>
      <c r="F69" s="1610">
        <f t="shared" ref="F69" si="14">F70+F92</f>
        <v>0</v>
      </c>
      <c r="G69" s="1631"/>
      <c r="H69" s="1698"/>
      <c r="I69" s="1664" t="e">
        <f t="shared" si="1"/>
        <v>#DIV/0!</v>
      </c>
    </row>
    <row r="70" spans="1:9" ht="17.100000000000001" hidden="1" customHeight="1">
      <c r="A70" s="1614"/>
      <c r="B70" s="4687"/>
      <c r="C70" s="5037" t="s">
        <v>760</v>
      </c>
      <c r="D70" s="5037"/>
      <c r="E70" s="1615">
        <f>E71+E89</f>
        <v>0</v>
      </c>
      <c r="F70" s="1615">
        <f t="shared" ref="F70" si="15">F71+F89</f>
        <v>0</v>
      </c>
      <c r="G70" s="1631"/>
      <c r="H70" s="1698"/>
      <c r="I70" s="1664" t="e">
        <f t="shared" si="1"/>
        <v>#DIV/0!</v>
      </c>
    </row>
    <row r="71" spans="1:9" ht="17.100000000000001" hidden="1" customHeight="1">
      <c r="A71" s="1614"/>
      <c r="B71" s="4687"/>
      <c r="C71" s="5048" t="s">
        <v>761</v>
      </c>
      <c r="D71" s="5048"/>
      <c r="E71" s="1697">
        <f t="shared" ref="E71:F71" si="16">E72+E78</f>
        <v>0</v>
      </c>
      <c r="F71" s="1697">
        <f t="shared" si="16"/>
        <v>0</v>
      </c>
      <c r="G71" s="1631"/>
      <c r="H71" s="1698"/>
      <c r="I71" s="1664" t="e">
        <f t="shared" si="1"/>
        <v>#DIV/0!</v>
      </c>
    </row>
    <row r="72" spans="1:9" ht="17.100000000000001" hidden="1" customHeight="1">
      <c r="A72" s="1614"/>
      <c r="B72" s="4687"/>
      <c r="C72" s="5049" t="s">
        <v>762</v>
      </c>
      <c r="D72" s="5049"/>
      <c r="E72" s="1701">
        <f t="shared" ref="E72:F72" si="17">E73+E75+E76+E74</f>
        <v>0</v>
      </c>
      <c r="F72" s="1701">
        <f t="shared" si="17"/>
        <v>0</v>
      </c>
      <c r="G72" s="1631"/>
      <c r="H72" s="1698"/>
      <c r="I72" s="1664" t="e">
        <f t="shared" ref="I72:I140" si="18">H72/G72</f>
        <v>#DIV/0!</v>
      </c>
    </row>
    <row r="73" spans="1:9" ht="0.75" hidden="1" customHeight="1">
      <c r="A73" s="1614"/>
      <c r="B73" s="4687"/>
      <c r="C73" s="1702" t="s">
        <v>61</v>
      </c>
      <c r="D73" s="1703" t="s">
        <v>763</v>
      </c>
      <c r="E73" s="1697">
        <v>0</v>
      </c>
      <c r="F73" s="1697">
        <v>0</v>
      </c>
      <c r="G73" s="1631"/>
      <c r="H73" s="1698"/>
      <c r="I73" s="1664" t="e">
        <f t="shared" si="18"/>
        <v>#DIV/0!</v>
      </c>
    </row>
    <row r="74" spans="1:9" ht="17.100000000000001" hidden="1" customHeight="1">
      <c r="A74" s="1614"/>
      <c r="B74" s="4687"/>
      <c r="C74" s="1702" t="s">
        <v>315</v>
      </c>
      <c r="D74" s="1703" t="s">
        <v>764</v>
      </c>
      <c r="E74" s="1697"/>
      <c r="F74" s="1697">
        <v>0</v>
      </c>
      <c r="G74" s="1631"/>
      <c r="H74" s="1698"/>
      <c r="I74" s="1664" t="e">
        <f t="shared" si="18"/>
        <v>#DIV/0!</v>
      </c>
    </row>
    <row r="75" spans="1:9" ht="17.100000000000001" hidden="1" customHeight="1">
      <c r="A75" s="1614"/>
      <c r="B75" s="4687"/>
      <c r="C75" s="1702" t="s">
        <v>62</v>
      </c>
      <c r="D75" s="1703" t="s">
        <v>765</v>
      </c>
      <c r="E75" s="1697"/>
      <c r="F75" s="1697">
        <v>0</v>
      </c>
      <c r="G75" s="1631"/>
      <c r="H75" s="1698"/>
      <c r="I75" s="1664" t="e">
        <f t="shared" si="18"/>
        <v>#DIV/0!</v>
      </c>
    </row>
    <row r="76" spans="1:9" ht="17.100000000000001" hidden="1" customHeight="1">
      <c r="A76" s="1614"/>
      <c r="B76" s="4687"/>
      <c r="C76" s="1702" t="s">
        <v>63</v>
      </c>
      <c r="D76" s="1703" t="s">
        <v>798</v>
      </c>
      <c r="E76" s="1673"/>
      <c r="F76" s="1673">
        <v>0</v>
      </c>
      <c r="G76" s="1694"/>
      <c r="H76" s="1675"/>
      <c r="I76" s="1664" t="e">
        <f t="shared" si="18"/>
        <v>#DIV/0!</v>
      </c>
    </row>
    <row r="77" spans="1:9" ht="17.100000000000001" hidden="1" customHeight="1">
      <c r="A77" s="1614"/>
      <c r="B77" s="4687"/>
      <c r="C77" s="1688"/>
      <c r="D77" s="1704"/>
      <c r="E77" s="1705"/>
      <c r="F77" s="1705"/>
      <c r="G77" s="1694"/>
      <c r="H77" s="1675"/>
      <c r="I77" s="1664" t="e">
        <f t="shared" si="18"/>
        <v>#DIV/0!</v>
      </c>
    </row>
    <row r="78" spans="1:9" ht="17.100000000000001" hidden="1" customHeight="1">
      <c r="A78" s="1614"/>
      <c r="B78" s="4687"/>
      <c r="C78" s="5050" t="s">
        <v>769</v>
      </c>
      <c r="D78" s="5051"/>
      <c r="E78" s="1685">
        <f>SUM(E79:E87)</f>
        <v>0</v>
      </c>
      <c r="F78" s="1685">
        <f t="shared" ref="F78" si="19">SUM(F79:F87)</f>
        <v>0</v>
      </c>
      <c r="G78" s="1694"/>
      <c r="H78" s="1675"/>
      <c r="I78" s="1664" t="e">
        <f t="shared" si="18"/>
        <v>#DIV/0!</v>
      </c>
    </row>
    <row r="79" spans="1:9" ht="17.100000000000001" hidden="1" customHeight="1">
      <c r="A79" s="1614"/>
      <c r="B79" s="4687"/>
      <c r="C79" s="1706" t="s">
        <v>22</v>
      </c>
      <c r="D79" s="1687" t="s">
        <v>771</v>
      </c>
      <c r="E79" s="1635">
        <v>0</v>
      </c>
      <c r="F79" s="1635">
        <v>0</v>
      </c>
      <c r="G79" s="1679"/>
      <c r="H79" s="1636"/>
      <c r="I79" s="1664" t="e">
        <f t="shared" si="18"/>
        <v>#DIV/0!</v>
      </c>
    </row>
    <row r="80" spans="1:9" ht="17.100000000000001" hidden="1" customHeight="1">
      <c r="A80" s="1614"/>
      <c r="B80" s="4687"/>
      <c r="C80" s="1686" t="s">
        <v>316</v>
      </c>
      <c r="D80" s="1687" t="s">
        <v>773</v>
      </c>
      <c r="E80" s="1635">
        <v>0</v>
      </c>
      <c r="F80" s="1635">
        <v>0</v>
      </c>
      <c r="G80" s="1679"/>
      <c r="H80" s="1636"/>
      <c r="I80" s="1664" t="e">
        <f t="shared" si="18"/>
        <v>#DIV/0!</v>
      </c>
    </row>
    <row r="81" spans="1:9" ht="17.100000000000001" hidden="1" customHeight="1">
      <c r="A81" s="1614"/>
      <c r="B81" s="4687"/>
      <c r="C81" s="1633" t="s">
        <v>87</v>
      </c>
      <c r="D81" s="1634" t="s">
        <v>774</v>
      </c>
      <c r="E81" s="1707">
        <v>0</v>
      </c>
      <c r="F81" s="1707">
        <v>0</v>
      </c>
      <c r="G81" s="1708"/>
      <c r="H81" s="1621"/>
      <c r="I81" s="1664" t="e">
        <f t="shared" si="18"/>
        <v>#DIV/0!</v>
      </c>
    </row>
    <row r="82" spans="1:9" ht="17.100000000000001" hidden="1" customHeight="1">
      <c r="A82" s="1614"/>
      <c r="B82" s="4687"/>
      <c r="C82" s="1633" t="s">
        <v>317</v>
      </c>
      <c r="D82" s="1634" t="s">
        <v>775</v>
      </c>
      <c r="E82" s="1707">
        <v>0</v>
      </c>
      <c r="F82" s="1707">
        <v>0</v>
      </c>
      <c r="G82" s="1708"/>
      <c r="H82" s="1621"/>
      <c r="I82" s="1664" t="e">
        <f t="shared" si="18"/>
        <v>#DIV/0!</v>
      </c>
    </row>
    <row r="83" spans="1:9" ht="17.100000000000001" hidden="1" customHeight="1">
      <c r="A83" s="1614"/>
      <c r="B83" s="4687"/>
      <c r="C83" s="1633" t="s">
        <v>23</v>
      </c>
      <c r="D83" s="1634" t="s">
        <v>776</v>
      </c>
      <c r="E83" s="1707">
        <v>0</v>
      </c>
      <c r="F83" s="1707">
        <v>0</v>
      </c>
      <c r="G83" s="1708"/>
      <c r="H83" s="1621"/>
      <c r="I83" s="1664" t="e">
        <f t="shared" si="18"/>
        <v>#DIV/0!</v>
      </c>
    </row>
    <row r="84" spans="1:9" ht="16.5" hidden="1" customHeight="1">
      <c r="A84" s="1614"/>
      <c r="B84" s="4687"/>
      <c r="C84" s="1633" t="s">
        <v>318</v>
      </c>
      <c r="D84" s="1634" t="s">
        <v>777</v>
      </c>
      <c r="E84" s="1707">
        <v>0</v>
      </c>
      <c r="F84" s="1707">
        <v>0</v>
      </c>
      <c r="G84" s="1708"/>
      <c r="H84" s="1621"/>
      <c r="I84" s="1664" t="e">
        <f t="shared" si="18"/>
        <v>#DIV/0!</v>
      </c>
    </row>
    <row r="85" spans="1:9" ht="17.100000000000001" hidden="1" customHeight="1">
      <c r="A85" s="1614"/>
      <c r="B85" s="4687"/>
      <c r="C85" s="1633" t="s">
        <v>319</v>
      </c>
      <c r="D85" s="1634" t="s">
        <v>783</v>
      </c>
      <c r="E85" s="1707">
        <v>0</v>
      </c>
      <c r="F85" s="1707">
        <v>0</v>
      </c>
      <c r="G85" s="1708"/>
      <c r="H85" s="1621"/>
      <c r="I85" s="1664" t="e">
        <f t="shared" si="18"/>
        <v>#DIV/0!</v>
      </c>
    </row>
    <row r="86" spans="1:9" ht="17.100000000000001" hidden="1" customHeight="1">
      <c r="A86" s="1614"/>
      <c r="B86" s="4687"/>
      <c r="C86" s="1633" t="s">
        <v>320</v>
      </c>
      <c r="D86" s="1634" t="s">
        <v>784</v>
      </c>
      <c r="E86" s="1707">
        <v>0</v>
      </c>
      <c r="F86" s="1707">
        <v>0</v>
      </c>
      <c r="G86" s="1708"/>
      <c r="H86" s="1621"/>
      <c r="I86" s="1664" t="e">
        <f t="shared" si="18"/>
        <v>#DIV/0!</v>
      </c>
    </row>
    <row r="87" spans="1:9" ht="17.100000000000001" hidden="1" customHeight="1">
      <c r="A87" s="1614"/>
      <c r="B87" s="4687"/>
      <c r="C87" s="1709" t="s">
        <v>321</v>
      </c>
      <c r="D87" s="1710" t="s">
        <v>799</v>
      </c>
      <c r="E87" s="1707">
        <v>0</v>
      </c>
      <c r="F87" s="1707">
        <v>0</v>
      </c>
      <c r="G87" s="1708"/>
      <c r="H87" s="1621"/>
      <c r="I87" s="1664" t="e">
        <f t="shared" si="18"/>
        <v>#DIV/0!</v>
      </c>
    </row>
    <row r="88" spans="1:9" ht="17.100000000000001" hidden="1" customHeight="1">
      <c r="A88" s="1614"/>
      <c r="B88" s="4687"/>
      <c r="C88" s="5059"/>
      <c r="D88" s="5055"/>
      <c r="E88" s="1711"/>
      <c r="F88" s="1711"/>
      <c r="G88" s="1631"/>
      <c r="H88" s="1621"/>
      <c r="I88" s="1664" t="e">
        <f t="shared" si="18"/>
        <v>#DIV/0!</v>
      </c>
    </row>
    <row r="89" spans="1:9" ht="17.100000000000001" hidden="1" customHeight="1">
      <c r="A89" s="1614"/>
      <c r="B89" s="4687"/>
      <c r="C89" s="5060" t="s">
        <v>791</v>
      </c>
      <c r="D89" s="5060"/>
      <c r="E89" s="1712">
        <f t="shared" ref="E89:F89" si="20">E90</f>
        <v>0</v>
      </c>
      <c r="F89" s="1712">
        <f t="shared" si="20"/>
        <v>0</v>
      </c>
      <c r="G89" s="1631"/>
      <c r="H89" s="1621"/>
      <c r="I89" s="1664" t="e">
        <f t="shared" si="18"/>
        <v>#DIV/0!</v>
      </c>
    </row>
    <row r="90" spans="1:9" ht="17.100000000000001" hidden="1" customHeight="1">
      <c r="A90" s="1614"/>
      <c r="B90" s="4687"/>
      <c r="C90" s="1659" t="s">
        <v>314</v>
      </c>
      <c r="D90" s="1660" t="s">
        <v>792</v>
      </c>
      <c r="E90" s="1713"/>
      <c r="F90" s="1713">
        <v>0</v>
      </c>
      <c r="G90" s="1631"/>
      <c r="H90" s="1621"/>
      <c r="I90" s="1664" t="e">
        <f t="shared" si="18"/>
        <v>#DIV/0!</v>
      </c>
    </row>
    <row r="91" spans="1:9" ht="17.100000000000001" hidden="1" customHeight="1">
      <c r="A91" s="1614"/>
      <c r="B91" s="4687"/>
      <c r="C91" s="1688"/>
      <c r="D91" s="1688"/>
      <c r="E91" s="1638"/>
      <c r="F91" s="1638"/>
      <c r="G91" s="1631"/>
      <c r="H91" s="1621"/>
      <c r="I91" s="1664" t="e">
        <f t="shared" si="18"/>
        <v>#DIV/0!</v>
      </c>
    </row>
    <row r="92" spans="1:9" ht="17.100000000000001" hidden="1" customHeight="1">
      <c r="A92" s="1614"/>
      <c r="B92" s="4687"/>
      <c r="C92" s="5061" t="s">
        <v>793</v>
      </c>
      <c r="D92" s="5062"/>
      <c r="E92" s="1714">
        <f t="shared" ref="E92:F92" si="21">E93</f>
        <v>0</v>
      </c>
      <c r="F92" s="1714">
        <f t="shared" si="21"/>
        <v>0</v>
      </c>
      <c r="G92" s="1631"/>
      <c r="H92" s="1715"/>
      <c r="I92" s="1664" t="e">
        <f t="shared" si="18"/>
        <v>#DIV/0!</v>
      </c>
    </row>
    <row r="93" spans="1:9" ht="17.100000000000001" hidden="1" customHeight="1">
      <c r="A93" s="1614"/>
      <c r="B93" s="4687"/>
      <c r="C93" s="5053" t="s">
        <v>794</v>
      </c>
      <c r="D93" s="5053"/>
      <c r="E93" s="1716">
        <f>SUM(E94:E95)</f>
        <v>0</v>
      </c>
      <c r="F93" s="1716">
        <f t="shared" ref="F93" si="22">SUM(F94:F95)</f>
        <v>0</v>
      </c>
      <c r="G93" s="1717"/>
      <c r="H93" s="1715"/>
      <c r="I93" s="1664" t="e">
        <f t="shared" si="18"/>
        <v>#DIV/0!</v>
      </c>
    </row>
    <row r="94" spans="1:9" ht="20.25" hidden="1" customHeight="1">
      <c r="A94" s="1614"/>
      <c r="B94" s="4687"/>
      <c r="C94" s="1718" t="s">
        <v>89</v>
      </c>
      <c r="D94" s="1719" t="s">
        <v>795</v>
      </c>
      <c r="E94" s="1716"/>
      <c r="F94" s="1716">
        <v>0</v>
      </c>
      <c r="G94" s="1717"/>
      <c r="H94" s="1715"/>
      <c r="I94" s="1664" t="e">
        <f t="shared" si="18"/>
        <v>#DIV/0!</v>
      </c>
    </row>
    <row r="95" spans="1:9" ht="55.5" hidden="1" customHeight="1" thickBot="1">
      <c r="A95" s="1614"/>
      <c r="B95" s="4687"/>
      <c r="C95" s="1720" t="s">
        <v>178</v>
      </c>
      <c r="D95" s="1721" t="s">
        <v>800</v>
      </c>
      <c r="E95" s="1716"/>
      <c r="F95" s="1716">
        <v>0</v>
      </c>
      <c r="G95" s="1717"/>
      <c r="H95" s="1715"/>
      <c r="I95" s="1664" t="e">
        <f t="shared" si="18"/>
        <v>#DIV/0!</v>
      </c>
    </row>
    <row r="96" spans="1:9" ht="17.100000000000001" hidden="1" customHeight="1">
      <c r="A96" s="1614"/>
      <c r="B96" s="4876"/>
      <c r="C96" s="1688"/>
      <c r="D96" s="1704"/>
      <c r="E96" s="1705"/>
      <c r="F96" s="1705"/>
      <c r="G96" s="1717"/>
      <c r="H96" s="1715"/>
      <c r="I96" s="1664" t="e">
        <f t="shared" si="18"/>
        <v>#DIV/0!</v>
      </c>
    </row>
    <row r="97" spans="1:9" ht="17.100000000000001" hidden="1" customHeight="1">
      <c r="A97" s="1614"/>
      <c r="B97" s="4876"/>
      <c r="C97" s="5052" t="s">
        <v>801</v>
      </c>
      <c r="D97" s="5063"/>
      <c r="E97" s="1716">
        <f>E98</f>
        <v>0</v>
      </c>
      <c r="F97" s="1716">
        <f t="shared" ref="F97" si="23">F98</f>
        <v>0</v>
      </c>
      <c r="G97" s="1717"/>
      <c r="H97" s="1715"/>
      <c r="I97" s="1664" t="e">
        <f t="shared" si="18"/>
        <v>#DIV/0!</v>
      </c>
    </row>
    <row r="98" spans="1:9" ht="17.100000000000001" hidden="1" customHeight="1" thickBot="1">
      <c r="A98" s="1614"/>
      <c r="B98" s="4876"/>
      <c r="C98" s="1722" t="s">
        <v>89</v>
      </c>
      <c r="D98" s="1723" t="s">
        <v>795</v>
      </c>
      <c r="E98" s="1724"/>
      <c r="F98" s="1724"/>
      <c r="G98" s="1717"/>
      <c r="H98" s="1715"/>
      <c r="I98" s="1725" t="e">
        <f t="shared" si="18"/>
        <v>#DIV/0!</v>
      </c>
    </row>
    <row r="99" spans="1:9" ht="17.100000000000001" customHeight="1" thickBot="1">
      <c r="A99" s="1614"/>
      <c r="B99" s="1726" t="s">
        <v>377</v>
      </c>
      <c r="C99" s="1727"/>
      <c r="D99" s="1728" t="s">
        <v>802</v>
      </c>
      <c r="E99" s="1729">
        <f t="shared" ref="E99:H100" si="24">E100</f>
        <v>5345000</v>
      </c>
      <c r="F99" s="1729">
        <f t="shared" si="24"/>
        <v>7430000</v>
      </c>
      <c r="G99" s="1730">
        <f t="shared" si="24"/>
        <v>7430000</v>
      </c>
      <c r="H99" s="1731">
        <f t="shared" si="24"/>
        <v>7235657.7800000012</v>
      </c>
      <c r="I99" s="1732">
        <f t="shared" si="18"/>
        <v>0.97384357738896377</v>
      </c>
    </row>
    <row r="100" spans="1:9" ht="17.100000000000001" customHeight="1">
      <c r="A100" s="1614"/>
      <c r="B100" s="1733"/>
      <c r="C100" s="5035" t="s">
        <v>760</v>
      </c>
      <c r="D100" s="5036"/>
      <c r="E100" s="1616">
        <f t="shared" si="24"/>
        <v>5345000</v>
      </c>
      <c r="F100" s="1734">
        <f t="shared" si="24"/>
        <v>7430000</v>
      </c>
      <c r="G100" s="1735">
        <f t="shared" si="24"/>
        <v>7430000</v>
      </c>
      <c r="H100" s="1736">
        <f t="shared" si="24"/>
        <v>7235657.7800000012</v>
      </c>
      <c r="I100" s="1672">
        <f t="shared" si="18"/>
        <v>0.97384357738896377</v>
      </c>
    </row>
    <row r="101" spans="1:9" ht="24.75" customHeight="1">
      <c r="A101" s="1614"/>
      <c r="B101" s="1737"/>
      <c r="C101" s="5033" t="s">
        <v>803</v>
      </c>
      <c r="D101" s="5034"/>
      <c r="E101" s="1738">
        <f>SUM(E102:E136)</f>
        <v>5345000</v>
      </c>
      <c r="F101" s="1716">
        <f>SUM(F102:F136)</f>
        <v>7430000</v>
      </c>
      <c r="G101" s="1739">
        <f>SUM(G102:G136)</f>
        <v>7430000</v>
      </c>
      <c r="H101" s="1663">
        <f>SUM(H102:H136)</f>
        <v>7235657.7800000012</v>
      </c>
      <c r="I101" s="1664">
        <f t="shared" si="18"/>
        <v>0.97384357738896377</v>
      </c>
    </row>
    <row r="102" spans="1:9" ht="66" customHeight="1">
      <c r="A102" s="1614"/>
      <c r="B102" s="1737"/>
      <c r="C102" s="1740" t="s">
        <v>524</v>
      </c>
      <c r="D102" s="1741" t="s">
        <v>804</v>
      </c>
      <c r="E102" s="1738">
        <v>216342</v>
      </c>
      <c r="F102" s="1716">
        <v>0</v>
      </c>
      <c r="G102" s="1739">
        <f>771514</f>
        <v>771514</v>
      </c>
      <c r="H102" s="1715">
        <v>760420.88</v>
      </c>
      <c r="I102" s="1622">
        <f t="shared" si="18"/>
        <v>0.98562162190187086</v>
      </c>
    </row>
    <row r="103" spans="1:9" ht="67.5" customHeight="1" thickBot="1">
      <c r="A103" s="1644"/>
      <c r="B103" s="1742"/>
      <c r="C103" s="1743" t="s">
        <v>689</v>
      </c>
      <c r="D103" s="1744" t="s">
        <v>804</v>
      </c>
      <c r="E103" s="1745">
        <v>123658</v>
      </c>
      <c r="F103" s="1678">
        <v>0</v>
      </c>
      <c r="G103" s="1746">
        <f>440987</f>
        <v>440987</v>
      </c>
      <c r="H103" s="1747">
        <v>434645.76000000001</v>
      </c>
      <c r="I103" s="1651">
        <f t="shared" si="18"/>
        <v>0.98562034708506152</v>
      </c>
    </row>
    <row r="104" spans="1:9" ht="68.25" customHeight="1">
      <c r="A104" s="4979"/>
      <c r="B104" s="4980"/>
      <c r="C104" s="1748" t="s">
        <v>517</v>
      </c>
      <c r="D104" s="1749" t="s">
        <v>805</v>
      </c>
      <c r="E104" s="1750">
        <v>133623</v>
      </c>
      <c r="F104" s="1655">
        <v>0</v>
      </c>
      <c r="G104" s="1751">
        <f>102260</f>
        <v>102260</v>
      </c>
      <c r="H104" s="1657">
        <v>100539.66</v>
      </c>
      <c r="I104" s="1658">
        <f t="shared" si="18"/>
        <v>0.9831768042245258</v>
      </c>
    </row>
    <row r="105" spans="1:9" ht="65.25" customHeight="1">
      <c r="A105" s="4716"/>
      <c r="B105" s="4981"/>
      <c r="C105" s="1752" t="s">
        <v>528</v>
      </c>
      <c r="D105" s="1753" t="s">
        <v>805</v>
      </c>
      <c r="E105" s="1620">
        <v>76377</v>
      </c>
      <c r="F105" s="1707">
        <v>0</v>
      </c>
      <c r="G105" s="1754">
        <f>58450</f>
        <v>58450</v>
      </c>
      <c r="H105" s="1621">
        <v>57467.03</v>
      </c>
      <c r="I105" s="1755">
        <f t="shared" si="18"/>
        <v>0.98318272027373821</v>
      </c>
    </row>
    <row r="106" spans="1:9" ht="54" hidden="1" customHeight="1">
      <c r="A106" s="1614"/>
      <c r="B106" s="1737"/>
      <c r="C106" s="1756" t="s">
        <v>687</v>
      </c>
      <c r="D106" s="1757" t="s">
        <v>806</v>
      </c>
      <c r="E106" s="1708"/>
      <c r="F106" s="1707">
        <v>0</v>
      </c>
      <c r="G106" s="1754">
        <v>0</v>
      </c>
      <c r="H106" s="1621">
        <v>0</v>
      </c>
      <c r="I106" s="1758" t="e">
        <f t="shared" si="18"/>
        <v>#DIV/0!</v>
      </c>
    </row>
    <row r="107" spans="1:9" ht="54" hidden="1" customHeight="1">
      <c r="A107" s="1614"/>
      <c r="B107" s="1737"/>
      <c r="C107" s="1756" t="s">
        <v>634</v>
      </c>
      <c r="D107" s="1757" t="s">
        <v>806</v>
      </c>
      <c r="E107" s="1708"/>
      <c r="F107" s="1707">
        <v>0</v>
      </c>
      <c r="G107" s="1754">
        <v>0</v>
      </c>
      <c r="H107" s="1621">
        <v>0</v>
      </c>
      <c r="I107" s="1758" t="e">
        <f t="shared" si="18"/>
        <v>#DIV/0!</v>
      </c>
    </row>
    <row r="108" spans="1:9" ht="17.100000000000001" customHeight="1">
      <c r="A108" s="1614"/>
      <c r="B108" s="1737"/>
      <c r="C108" s="1659" t="s">
        <v>807</v>
      </c>
      <c r="D108" s="1759" t="s">
        <v>763</v>
      </c>
      <c r="E108" s="1760">
        <v>2032955</v>
      </c>
      <c r="F108" s="1661">
        <v>2385418</v>
      </c>
      <c r="G108" s="1761">
        <f>2547730</f>
        <v>2547730</v>
      </c>
      <c r="H108" s="1663">
        <v>2526290.39</v>
      </c>
      <c r="I108" s="1664">
        <f t="shared" si="18"/>
        <v>0.99158481864247783</v>
      </c>
    </row>
    <row r="109" spans="1:9" ht="17.100000000000001" customHeight="1">
      <c r="A109" s="1614"/>
      <c r="B109" s="1737"/>
      <c r="C109" s="1633" t="s">
        <v>808</v>
      </c>
      <c r="D109" s="1762" t="s">
        <v>763</v>
      </c>
      <c r="E109" s="1620">
        <v>1162045</v>
      </c>
      <c r="F109" s="1707">
        <v>1364582</v>
      </c>
      <c r="G109" s="1754">
        <f>1457358</f>
        <v>1457358</v>
      </c>
      <c r="H109" s="1621">
        <v>1443992.47</v>
      </c>
      <c r="I109" s="1664">
        <f t="shared" si="18"/>
        <v>0.99082893153226592</v>
      </c>
    </row>
    <row r="110" spans="1:9" ht="17.100000000000001" customHeight="1">
      <c r="A110" s="1614"/>
      <c r="B110" s="1737"/>
      <c r="C110" s="1633" t="s">
        <v>809</v>
      </c>
      <c r="D110" s="1762" t="s">
        <v>764</v>
      </c>
      <c r="E110" s="1620">
        <v>150567</v>
      </c>
      <c r="F110" s="1707">
        <v>190890</v>
      </c>
      <c r="G110" s="1754">
        <f>159808</f>
        <v>159808</v>
      </c>
      <c r="H110" s="1621">
        <v>159806.03</v>
      </c>
      <c r="I110" s="1664">
        <f t="shared" si="18"/>
        <v>0.99998767270724864</v>
      </c>
    </row>
    <row r="111" spans="1:9" ht="17.100000000000001" customHeight="1">
      <c r="A111" s="1614"/>
      <c r="B111" s="1737"/>
      <c r="C111" s="1633" t="s">
        <v>810</v>
      </c>
      <c r="D111" s="1762" t="s">
        <v>764</v>
      </c>
      <c r="E111" s="1620">
        <v>86062</v>
      </c>
      <c r="F111" s="1707">
        <v>109110</v>
      </c>
      <c r="G111" s="1754">
        <f>91345</f>
        <v>91345</v>
      </c>
      <c r="H111" s="1621">
        <v>91342.89</v>
      </c>
      <c r="I111" s="1664">
        <f t="shared" si="18"/>
        <v>0.99997690076085166</v>
      </c>
    </row>
    <row r="112" spans="1:9" ht="17.100000000000001" customHeight="1">
      <c r="A112" s="1614"/>
      <c r="B112" s="1737"/>
      <c r="C112" s="1763" t="s">
        <v>811</v>
      </c>
      <c r="D112" s="1764" t="s">
        <v>765</v>
      </c>
      <c r="E112" s="1620">
        <v>379871</v>
      </c>
      <c r="F112" s="1707">
        <v>463862</v>
      </c>
      <c r="G112" s="1765">
        <f>459288</f>
        <v>459288</v>
      </c>
      <c r="H112" s="1621">
        <v>452448.78</v>
      </c>
      <c r="I112" s="1664">
        <f t="shared" si="18"/>
        <v>0.98510908188326285</v>
      </c>
    </row>
    <row r="113" spans="1:9" ht="17.100000000000001" customHeight="1">
      <c r="A113" s="1614"/>
      <c r="B113" s="1737"/>
      <c r="C113" s="1763" t="s">
        <v>812</v>
      </c>
      <c r="D113" s="1764" t="s">
        <v>765</v>
      </c>
      <c r="E113" s="1620">
        <v>217129</v>
      </c>
      <c r="F113" s="1707">
        <v>265138</v>
      </c>
      <c r="G113" s="1765">
        <f>262521</f>
        <v>262521</v>
      </c>
      <c r="H113" s="1621">
        <v>258614.42</v>
      </c>
      <c r="I113" s="1664">
        <f t="shared" si="18"/>
        <v>0.98511898095771389</v>
      </c>
    </row>
    <row r="114" spans="1:9" ht="27" customHeight="1">
      <c r="A114" s="1614"/>
      <c r="B114" s="1737"/>
      <c r="C114" s="1766" t="s">
        <v>813</v>
      </c>
      <c r="D114" s="1767" t="s">
        <v>766</v>
      </c>
      <c r="E114" s="1620">
        <v>51777</v>
      </c>
      <c r="F114" s="1707">
        <v>76992</v>
      </c>
      <c r="G114" s="1765">
        <f>61466</f>
        <v>61466</v>
      </c>
      <c r="H114" s="1621">
        <v>59191.38</v>
      </c>
      <c r="I114" s="1664">
        <f t="shared" si="18"/>
        <v>0.96299385025867956</v>
      </c>
    </row>
    <row r="115" spans="1:9" ht="26.25" customHeight="1">
      <c r="A115" s="1614"/>
      <c r="B115" s="1737"/>
      <c r="C115" s="1659" t="s">
        <v>814</v>
      </c>
      <c r="D115" s="1759" t="s">
        <v>766</v>
      </c>
      <c r="E115" s="1760">
        <v>29594</v>
      </c>
      <c r="F115" s="1661">
        <v>44008</v>
      </c>
      <c r="G115" s="1768">
        <f>35134</f>
        <v>35134</v>
      </c>
      <c r="H115" s="1663">
        <v>33833.370000000003</v>
      </c>
      <c r="I115" s="1769">
        <f t="shared" si="18"/>
        <v>0.96298087322821202</v>
      </c>
    </row>
    <row r="116" spans="1:9" ht="17.100000000000001" customHeight="1">
      <c r="A116" s="1614"/>
      <c r="B116" s="1737"/>
      <c r="C116" s="1633" t="s">
        <v>815</v>
      </c>
      <c r="D116" s="1764" t="s">
        <v>767</v>
      </c>
      <c r="E116" s="1620">
        <v>6363</v>
      </c>
      <c r="F116" s="1707">
        <v>6363</v>
      </c>
      <c r="G116" s="1765">
        <f>6363</f>
        <v>6363</v>
      </c>
      <c r="H116" s="1621">
        <v>0</v>
      </c>
      <c r="I116" s="1769">
        <f t="shared" si="18"/>
        <v>0</v>
      </c>
    </row>
    <row r="117" spans="1:9" ht="17.100000000000001" customHeight="1">
      <c r="A117" s="1614"/>
      <c r="B117" s="1737"/>
      <c r="C117" s="1633" t="s">
        <v>816</v>
      </c>
      <c r="D117" s="1764" t="s">
        <v>767</v>
      </c>
      <c r="E117" s="1620">
        <v>3637</v>
      </c>
      <c r="F117" s="1707">
        <v>3637</v>
      </c>
      <c r="G117" s="1765">
        <f>3637</f>
        <v>3637</v>
      </c>
      <c r="H117" s="1621">
        <v>0</v>
      </c>
      <c r="I117" s="1769">
        <f t="shared" si="18"/>
        <v>0</v>
      </c>
    </row>
    <row r="118" spans="1:9" ht="17.100000000000001" customHeight="1">
      <c r="A118" s="1614"/>
      <c r="B118" s="1737"/>
      <c r="C118" s="1633" t="s">
        <v>817</v>
      </c>
      <c r="D118" s="1764" t="s">
        <v>818</v>
      </c>
      <c r="E118" s="1620">
        <v>19089</v>
      </c>
      <c r="F118" s="1707">
        <v>190890</v>
      </c>
      <c r="G118" s="1765">
        <f>25452</f>
        <v>25452</v>
      </c>
      <c r="H118" s="1621">
        <v>19068.59</v>
      </c>
      <c r="I118" s="1769">
        <f t="shared" si="18"/>
        <v>0.74919809838126672</v>
      </c>
    </row>
    <row r="119" spans="1:9" ht="17.100000000000001" customHeight="1">
      <c r="A119" s="1614"/>
      <c r="B119" s="1737"/>
      <c r="C119" s="1633" t="s">
        <v>819</v>
      </c>
      <c r="D119" s="1764" t="s">
        <v>818</v>
      </c>
      <c r="E119" s="1620">
        <v>10911</v>
      </c>
      <c r="F119" s="1707">
        <v>109110</v>
      </c>
      <c r="G119" s="1765">
        <f>14548</f>
        <v>14548</v>
      </c>
      <c r="H119" s="1621">
        <v>10899.36</v>
      </c>
      <c r="I119" s="1769">
        <f t="shared" si="18"/>
        <v>0.74919989001924669</v>
      </c>
    </row>
    <row r="120" spans="1:9" ht="17.100000000000001" customHeight="1">
      <c r="A120" s="1614"/>
      <c r="B120" s="1737"/>
      <c r="C120" s="1766" t="s">
        <v>820</v>
      </c>
      <c r="D120" s="1767" t="s">
        <v>771</v>
      </c>
      <c r="E120" s="1620">
        <v>83355</v>
      </c>
      <c r="F120" s="1707">
        <v>271700</v>
      </c>
      <c r="G120" s="1765">
        <f>183254</f>
        <v>183254</v>
      </c>
      <c r="H120" s="1621">
        <v>156120.75</v>
      </c>
      <c r="I120" s="1769">
        <f t="shared" si="18"/>
        <v>0.85193638338044464</v>
      </c>
    </row>
    <row r="121" spans="1:9" ht="17.100000000000001" customHeight="1">
      <c r="A121" s="1614"/>
      <c r="B121" s="1737"/>
      <c r="C121" s="1659" t="s">
        <v>821</v>
      </c>
      <c r="D121" s="1759" t="s">
        <v>771</v>
      </c>
      <c r="E121" s="1760">
        <v>47645</v>
      </c>
      <c r="F121" s="1661">
        <v>155300</v>
      </c>
      <c r="G121" s="1761">
        <f>104746</f>
        <v>104746</v>
      </c>
      <c r="H121" s="1663">
        <v>89237.15</v>
      </c>
      <c r="I121" s="1664">
        <f t="shared" si="18"/>
        <v>0.85193849884482453</v>
      </c>
    </row>
    <row r="122" spans="1:9" ht="17.100000000000001" customHeight="1">
      <c r="A122" s="1614"/>
      <c r="B122" s="1737"/>
      <c r="C122" s="1633" t="s">
        <v>822</v>
      </c>
      <c r="D122" s="1764" t="s">
        <v>774</v>
      </c>
      <c r="E122" s="1620">
        <v>3182</v>
      </c>
      <c r="F122" s="1707">
        <v>1909</v>
      </c>
      <c r="G122" s="1765">
        <f>8908</f>
        <v>8908</v>
      </c>
      <c r="H122" s="1621">
        <v>7380.69</v>
      </c>
      <c r="I122" s="1769">
        <f t="shared" si="18"/>
        <v>0.82854625056129316</v>
      </c>
    </row>
    <row r="123" spans="1:9" ht="17.100000000000001" customHeight="1">
      <c r="A123" s="1614"/>
      <c r="B123" s="1737"/>
      <c r="C123" s="1633" t="s">
        <v>823</v>
      </c>
      <c r="D123" s="1764" t="s">
        <v>774</v>
      </c>
      <c r="E123" s="1620">
        <v>1818</v>
      </c>
      <c r="F123" s="1707">
        <v>1091</v>
      </c>
      <c r="G123" s="1765">
        <f>5092</f>
        <v>5092</v>
      </c>
      <c r="H123" s="1621">
        <v>4218.8</v>
      </c>
      <c r="I123" s="1769">
        <f t="shared" si="18"/>
        <v>0.82851531814611157</v>
      </c>
    </row>
    <row r="124" spans="1:9" ht="17.100000000000001" customHeight="1">
      <c r="A124" s="1614"/>
      <c r="B124" s="1737"/>
      <c r="C124" s="1633" t="s">
        <v>824</v>
      </c>
      <c r="D124" s="1764" t="s">
        <v>776</v>
      </c>
      <c r="E124" s="1620">
        <v>298425</v>
      </c>
      <c r="F124" s="1707">
        <v>1112252</v>
      </c>
      <c r="G124" s="1765">
        <f>363830</f>
        <v>363830</v>
      </c>
      <c r="H124" s="1621">
        <v>334442.90999999997</v>
      </c>
      <c r="I124" s="1769">
        <f t="shared" si="18"/>
        <v>0.91922851331665878</v>
      </c>
    </row>
    <row r="125" spans="1:9" ht="17.100000000000001" customHeight="1">
      <c r="A125" s="1614"/>
      <c r="B125" s="1737"/>
      <c r="C125" s="1633" t="s">
        <v>825</v>
      </c>
      <c r="D125" s="1764" t="s">
        <v>776</v>
      </c>
      <c r="E125" s="1620">
        <v>170575</v>
      </c>
      <c r="F125" s="1707">
        <v>635748</v>
      </c>
      <c r="G125" s="1765">
        <f>207959</f>
        <v>207959</v>
      </c>
      <c r="H125" s="1621">
        <v>191162.88</v>
      </c>
      <c r="I125" s="1769">
        <f t="shared" si="18"/>
        <v>0.91923350275775517</v>
      </c>
    </row>
    <row r="126" spans="1:9" ht="17.100000000000001" customHeight="1">
      <c r="A126" s="1614"/>
      <c r="B126" s="1737"/>
      <c r="C126" s="1633" t="s">
        <v>826</v>
      </c>
      <c r="D126" s="1764" t="s">
        <v>778</v>
      </c>
      <c r="E126" s="1620">
        <v>636</v>
      </c>
      <c r="F126" s="1707">
        <v>636</v>
      </c>
      <c r="G126" s="1765">
        <v>0</v>
      </c>
      <c r="H126" s="1621">
        <v>0</v>
      </c>
      <c r="I126" s="1769"/>
    </row>
    <row r="127" spans="1:9" ht="17.100000000000001" customHeight="1" thickBot="1">
      <c r="A127" s="1644"/>
      <c r="B127" s="1742"/>
      <c r="C127" s="1770" t="s">
        <v>827</v>
      </c>
      <c r="D127" s="1771" t="s">
        <v>778</v>
      </c>
      <c r="E127" s="1745">
        <v>364</v>
      </c>
      <c r="F127" s="1678">
        <v>364</v>
      </c>
      <c r="G127" s="1746">
        <v>0</v>
      </c>
      <c r="H127" s="1747">
        <v>0</v>
      </c>
      <c r="I127" s="1651"/>
    </row>
    <row r="128" spans="1:9" ht="17.100000000000001" customHeight="1">
      <c r="A128" s="1614"/>
      <c r="B128" s="1737"/>
      <c r="C128" s="1659" t="s">
        <v>828</v>
      </c>
      <c r="D128" s="1759" t="s">
        <v>781</v>
      </c>
      <c r="E128" s="1760">
        <v>6363</v>
      </c>
      <c r="F128" s="1661">
        <v>7636</v>
      </c>
      <c r="G128" s="1761">
        <v>5727</v>
      </c>
      <c r="H128" s="1663">
        <v>2316.98</v>
      </c>
      <c r="I128" s="1664">
        <f t="shared" si="18"/>
        <v>0.4045713287934346</v>
      </c>
    </row>
    <row r="129" spans="1:9" ht="17.100000000000001" customHeight="1">
      <c r="A129" s="1614"/>
      <c r="B129" s="1737"/>
      <c r="C129" s="1633" t="s">
        <v>829</v>
      </c>
      <c r="D129" s="1764" t="s">
        <v>781</v>
      </c>
      <c r="E129" s="1620">
        <v>3637</v>
      </c>
      <c r="F129" s="1707">
        <v>4364</v>
      </c>
      <c r="G129" s="1765">
        <f>3273</f>
        <v>3273</v>
      </c>
      <c r="H129" s="1621">
        <v>1324.46</v>
      </c>
      <c r="I129" s="1664">
        <f t="shared" si="18"/>
        <v>0.4046623892453407</v>
      </c>
    </row>
    <row r="130" spans="1:9" ht="17.100000000000001" customHeight="1">
      <c r="A130" s="1614"/>
      <c r="B130" s="1737"/>
      <c r="C130" s="1766" t="s">
        <v>830</v>
      </c>
      <c r="D130" s="1764" t="s">
        <v>782</v>
      </c>
      <c r="E130" s="1620">
        <v>9544</v>
      </c>
      <c r="F130" s="1707">
        <v>9544</v>
      </c>
      <c r="G130" s="1765">
        <f>4454</f>
        <v>4454</v>
      </c>
      <c r="H130" s="1621">
        <v>4345.13</v>
      </c>
      <c r="I130" s="1664">
        <f t="shared" si="18"/>
        <v>0.97555680287382129</v>
      </c>
    </row>
    <row r="131" spans="1:9" ht="17.100000000000001" customHeight="1">
      <c r="A131" s="1614"/>
      <c r="B131" s="1737"/>
      <c r="C131" s="1659" t="s">
        <v>831</v>
      </c>
      <c r="D131" s="1764" t="s">
        <v>782</v>
      </c>
      <c r="E131" s="1620">
        <v>5456</v>
      </c>
      <c r="F131" s="1707">
        <v>5456</v>
      </c>
      <c r="G131" s="1765">
        <f>2546</f>
        <v>2546</v>
      </c>
      <c r="H131" s="1621">
        <v>2483.62</v>
      </c>
      <c r="I131" s="1769">
        <f t="shared" si="18"/>
        <v>0.97549882168106827</v>
      </c>
    </row>
    <row r="132" spans="1:9" ht="55.5" hidden="1" customHeight="1">
      <c r="A132" s="1614"/>
      <c r="B132" s="1737"/>
      <c r="C132" s="1659" t="s">
        <v>832</v>
      </c>
      <c r="D132" s="1764" t="s">
        <v>833</v>
      </c>
      <c r="E132" s="1620"/>
      <c r="F132" s="1707">
        <v>0</v>
      </c>
      <c r="G132" s="1765">
        <v>0</v>
      </c>
      <c r="H132" s="1621">
        <v>0</v>
      </c>
      <c r="I132" s="1769" t="e">
        <f t="shared" si="18"/>
        <v>#DIV/0!</v>
      </c>
    </row>
    <row r="133" spans="1:9" ht="27.75" customHeight="1">
      <c r="A133" s="1614"/>
      <c r="B133" s="1737"/>
      <c r="C133" s="1633" t="s">
        <v>834</v>
      </c>
      <c r="D133" s="1764" t="s">
        <v>790</v>
      </c>
      <c r="E133" s="1620">
        <v>8908</v>
      </c>
      <c r="F133" s="1707">
        <v>8908</v>
      </c>
      <c r="G133" s="1765">
        <f>17179</f>
        <v>17179</v>
      </c>
      <c r="H133" s="1621">
        <v>12919.64</v>
      </c>
      <c r="I133" s="1769">
        <f t="shared" si="18"/>
        <v>0.75206007334536351</v>
      </c>
    </row>
    <row r="134" spans="1:9" ht="27.75" customHeight="1">
      <c r="A134" s="1614"/>
      <c r="B134" s="1737"/>
      <c r="C134" s="1772" t="s">
        <v>835</v>
      </c>
      <c r="D134" s="1767" t="s">
        <v>790</v>
      </c>
      <c r="E134" s="1773">
        <v>5092</v>
      </c>
      <c r="F134" s="1673">
        <v>5092</v>
      </c>
      <c r="G134" s="1774">
        <f>9821</f>
        <v>9821</v>
      </c>
      <c r="H134" s="1775">
        <v>7384.78</v>
      </c>
      <c r="I134" s="1769">
        <f t="shared" si="18"/>
        <v>0.75193768455350773</v>
      </c>
    </row>
    <row r="135" spans="1:9" ht="27.75" customHeight="1">
      <c r="A135" s="1614"/>
      <c r="B135" s="1737"/>
      <c r="C135" s="1695" t="s">
        <v>836</v>
      </c>
      <c r="D135" s="1776" t="s">
        <v>768</v>
      </c>
      <c r="E135" s="1760"/>
      <c r="F135" s="1668">
        <v>0</v>
      </c>
      <c r="G135" s="1774">
        <f>9767</f>
        <v>9767</v>
      </c>
      <c r="H135" s="1775">
        <v>8754.77</v>
      </c>
      <c r="I135" s="1769">
        <f t="shared" si="18"/>
        <v>0.8963622401965804</v>
      </c>
    </row>
    <row r="136" spans="1:9" ht="29.25" customHeight="1" thickBot="1">
      <c r="A136" s="1614"/>
      <c r="B136" s="1742"/>
      <c r="C136" s="1777" t="s">
        <v>837</v>
      </c>
      <c r="D136" s="1778" t="s">
        <v>768</v>
      </c>
      <c r="E136" s="1773"/>
      <c r="F136" s="1678">
        <v>0</v>
      </c>
      <c r="G136" s="1774">
        <f>5583</f>
        <v>5583</v>
      </c>
      <c r="H136" s="1747">
        <v>5004.21</v>
      </c>
      <c r="I136" s="1725">
        <f t="shared" si="18"/>
        <v>0.89632993014508333</v>
      </c>
    </row>
    <row r="137" spans="1:9" ht="17.100000000000001" customHeight="1" thickBot="1">
      <c r="A137" s="1614"/>
      <c r="B137" s="1726" t="s">
        <v>16</v>
      </c>
      <c r="C137" s="1727"/>
      <c r="D137" s="1728" t="s">
        <v>17</v>
      </c>
      <c r="E137" s="1729">
        <f t="shared" ref="E137:H137" si="25">E138+E148</f>
        <v>13363032</v>
      </c>
      <c r="F137" s="1729">
        <f t="shared" si="25"/>
        <v>9500000</v>
      </c>
      <c r="G137" s="1729">
        <f t="shared" si="25"/>
        <v>12962823</v>
      </c>
      <c r="H137" s="1731">
        <f t="shared" si="25"/>
        <v>11676117.17</v>
      </c>
      <c r="I137" s="1732">
        <f t="shared" si="18"/>
        <v>0.90073876423368582</v>
      </c>
    </row>
    <row r="138" spans="1:9" ht="17.100000000000001" customHeight="1">
      <c r="A138" s="1614"/>
      <c r="B138" s="1779"/>
      <c r="C138" s="4871" t="s">
        <v>760</v>
      </c>
      <c r="D138" s="4871"/>
      <c r="E138" s="1615">
        <f t="shared" ref="E138:H138" si="26">E139+E144</f>
        <v>3722132</v>
      </c>
      <c r="F138" s="1615">
        <f t="shared" si="26"/>
        <v>3420000</v>
      </c>
      <c r="G138" s="1615">
        <f t="shared" si="26"/>
        <v>3813415</v>
      </c>
      <c r="H138" s="1617">
        <f t="shared" si="26"/>
        <v>3129335.3400000003</v>
      </c>
      <c r="I138" s="1780">
        <f t="shared" si="18"/>
        <v>0.82061232255078465</v>
      </c>
    </row>
    <row r="139" spans="1:9" ht="17.100000000000001" customHeight="1">
      <c r="A139" s="1614"/>
      <c r="B139" s="1779"/>
      <c r="C139" s="5013" t="s">
        <v>761</v>
      </c>
      <c r="D139" s="5013"/>
      <c r="E139" s="1707">
        <f t="shared" ref="E139:H139" si="27">E140</f>
        <v>130000</v>
      </c>
      <c r="F139" s="1707">
        <f t="shared" si="27"/>
        <v>240000</v>
      </c>
      <c r="G139" s="1707">
        <f t="shared" si="27"/>
        <v>240000</v>
      </c>
      <c r="H139" s="1621">
        <f t="shared" si="27"/>
        <v>183426.46</v>
      </c>
      <c r="I139" s="1769">
        <f t="shared" si="18"/>
        <v>0.76427691666666664</v>
      </c>
    </row>
    <row r="140" spans="1:9" ht="17.100000000000001" customHeight="1">
      <c r="A140" s="1614"/>
      <c r="B140" s="1779"/>
      <c r="C140" s="5011" t="s">
        <v>769</v>
      </c>
      <c r="D140" s="5011"/>
      <c r="E140" s="1707">
        <f t="shared" ref="E140:H140" si="28">SUM(E141:E142)</f>
        <v>130000</v>
      </c>
      <c r="F140" s="1781">
        <f t="shared" si="28"/>
        <v>240000</v>
      </c>
      <c r="G140" s="1781">
        <f t="shared" si="28"/>
        <v>240000</v>
      </c>
      <c r="H140" s="1782">
        <f t="shared" si="28"/>
        <v>183426.46</v>
      </c>
      <c r="I140" s="1783">
        <f t="shared" si="18"/>
        <v>0.76427691666666664</v>
      </c>
    </row>
    <row r="141" spans="1:9" ht="17.100000000000001" customHeight="1">
      <c r="A141" s="1614"/>
      <c r="B141" s="1779"/>
      <c r="C141" s="1784" t="s">
        <v>22</v>
      </c>
      <c r="D141" s="1785" t="s">
        <v>771</v>
      </c>
      <c r="E141" s="1707">
        <v>100000</v>
      </c>
      <c r="F141" s="1707">
        <v>210000</v>
      </c>
      <c r="G141" s="1631">
        <v>210000</v>
      </c>
      <c r="H141" s="1621">
        <v>173094.46</v>
      </c>
      <c r="I141" s="1769">
        <f t="shared" ref="I141:I207" si="29">H141/G141</f>
        <v>0.82425933333333334</v>
      </c>
    </row>
    <row r="142" spans="1:9" ht="17.100000000000001" customHeight="1">
      <c r="A142" s="1614"/>
      <c r="B142" s="1779"/>
      <c r="C142" s="1633" t="s">
        <v>23</v>
      </c>
      <c r="D142" s="1786" t="s">
        <v>776</v>
      </c>
      <c r="E142" s="1707">
        <v>30000</v>
      </c>
      <c r="F142" s="1707">
        <v>30000</v>
      </c>
      <c r="G142" s="1708">
        <v>30000</v>
      </c>
      <c r="H142" s="1621">
        <v>10332</v>
      </c>
      <c r="I142" s="1769">
        <f t="shared" si="29"/>
        <v>0.34439999999999998</v>
      </c>
    </row>
    <row r="143" spans="1:9" ht="17.100000000000001" customHeight="1">
      <c r="A143" s="1614"/>
      <c r="B143" s="1779"/>
      <c r="C143" s="5042"/>
      <c r="D143" s="5043"/>
      <c r="E143" s="1638"/>
      <c r="F143" s="1638"/>
      <c r="G143" s="1708"/>
      <c r="H143" s="1621"/>
      <c r="I143" s="1769"/>
    </row>
    <row r="144" spans="1:9" ht="17.100000000000001" customHeight="1">
      <c r="A144" s="1614"/>
      <c r="B144" s="1779"/>
      <c r="C144" s="5033" t="s">
        <v>838</v>
      </c>
      <c r="D144" s="5033"/>
      <c r="E144" s="1707">
        <f t="shared" ref="E144:H144" si="30">SUM(E145:E146)</f>
        <v>3592132</v>
      </c>
      <c r="F144" s="1707">
        <f t="shared" si="30"/>
        <v>3180000</v>
      </c>
      <c r="G144" s="1707">
        <f t="shared" si="30"/>
        <v>3573415</v>
      </c>
      <c r="H144" s="1621">
        <f t="shared" si="30"/>
        <v>2945908.8800000004</v>
      </c>
      <c r="I144" s="1769">
        <f t="shared" si="29"/>
        <v>0.82439595736851168</v>
      </c>
    </row>
    <row r="145" spans="1:15" ht="42.75" customHeight="1">
      <c r="A145" s="1614"/>
      <c r="B145" s="1779"/>
      <c r="C145" s="1766" t="s">
        <v>19</v>
      </c>
      <c r="D145" s="1787" t="s">
        <v>839</v>
      </c>
      <c r="E145" s="1707">
        <v>3542132</v>
      </c>
      <c r="F145" s="1707">
        <v>3000000</v>
      </c>
      <c r="G145" s="1708">
        <v>3393415</v>
      </c>
      <c r="H145" s="1621">
        <v>2895356.47</v>
      </c>
      <c r="I145" s="1769">
        <f t="shared" si="29"/>
        <v>0.85322793410178244</v>
      </c>
    </row>
    <row r="146" spans="1:15" ht="42" customHeight="1">
      <c r="A146" s="1614"/>
      <c r="B146" s="1779"/>
      <c r="C146" s="1659" t="s">
        <v>21</v>
      </c>
      <c r="D146" s="1660" t="s">
        <v>840</v>
      </c>
      <c r="E146" s="1661">
        <v>50000</v>
      </c>
      <c r="F146" s="1661">
        <v>180000</v>
      </c>
      <c r="G146" s="1662">
        <v>180000</v>
      </c>
      <c r="H146" s="1663">
        <v>50552.41</v>
      </c>
      <c r="I146" s="1664">
        <f t="shared" si="29"/>
        <v>0.28084672222222223</v>
      </c>
    </row>
    <row r="147" spans="1:15" ht="17.100000000000001" customHeight="1">
      <c r="A147" s="1614"/>
      <c r="B147" s="1779"/>
      <c r="C147" s="5042"/>
      <c r="D147" s="5044"/>
      <c r="E147" s="1638"/>
      <c r="F147" s="1638"/>
      <c r="G147" s="1788"/>
      <c r="H147" s="1621"/>
      <c r="I147" s="1769"/>
    </row>
    <row r="148" spans="1:15" ht="17.100000000000001" customHeight="1">
      <c r="A148" s="1614"/>
      <c r="B148" s="1779"/>
      <c r="C148" s="5020" t="s">
        <v>793</v>
      </c>
      <c r="D148" s="5031"/>
      <c r="E148" s="1789">
        <f t="shared" ref="E148:H148" si="31">E149</f>
        <v>9640900</v>
      </c>
      <c r="F148" s="1789">
        <f t="shared" si="31"/>
        <v>6080000</v>
      </c>
      <c r="G148" s="1789">
        <f t="shared" si="31"/>
        <v>9149408</v>
      </c>
      <c r="H148" s="1790">
        <f t="shared" si="31"/>
        <v>8546781.8300000001</v>
      </c>
      <c r="I148" s="1769">
        <f t="shared" si="29"/>
        <v>0.93413495496102039</v>
      </c>
    </row>
    <row r="149" spans="1:15" ht="17.100000000000001" customHeight="1">
      <c r="A149" s="1614"/>
      <c r="B149" s="1779"/>
      <c r="C149" s="5018" t="s">
        <v>794</v>
      </c>
      <c r="D149" s="5032"/>
      <c r="E149" s="1707">
        <f t="shared" ref="E149:H149" si="32">SUM(E150:E152)</f>
        <v>9640900</v>
      </c>
      <c r="F149" s="1707">
        <f t="shared" si="32"/>
        <v>6080000</v>
      </c>
      <c r="G149" s="1707">
        <f>SUM(G150:G152)</f>
        <v>9149408</v>
      </c>
      <c r="H149" s="1621">
        <f t="shared" si="32"/>
        <v>8546781.8300000001</v>
      </c>
      <c r="I149" s="1769">
        <f t="shared" si="29"/>
        <v>0.93413495496102039</v>
      </c>
      <c r="O149" s="1583" t="s">
        <v>841</v>
      </c>
    </row>
    <row r="150" spans="1:15" ht="17.100000000000001" customHeight="1" thickBot="1">
      <c r="A150" s="1644"/>
      <c r="B150" s="1791"/>
      <c r="C150" s="1770" t="s">
        <v>24</v>
      </c>
      <c r="D150" s="1771" t="s">
        <v>842</v>
      </c>
      <c r="E150" s="1678">
        <v>335000</v>
      </c>
      <c r="F150" s="1678">
        <v>210000</v>
      </c>
      <c r="G150" s="1792">
        <v>210000</v>
      </c>
      <c r="H150" s="1747">
        <v>168440.44</v>
      </c>
      <c r="I150" s="1651">
        <f t="shared" si="29"/>
        <v>0.80209733333333333</v>
      </c>
    </row>
    <row r="151" spans="1:15" ht="40.5" customHeight="1">
      <c r="A151" s="1614"/>
      <c r="B151" s="1779"/>
      <c r="C151" s="1659" t="s">
        <v>25</v>
      </c>
      <c r="D151" s="1759" t="s">
        <v>843</v>
      </c>
      <c r="E151" s="1661">
        <v>9225900</v>
      </c>
      <c r="F151" s="1661">
        <v>5690000</v>
      </c>
      <c r="G151" s="1662">
        <v>8759408</v>
      </c>
      <c r="H151" s="1663">
        <v>8359341.3899999997</v>
      </c>
      <c r="I151" s="1664">
        <f t="shared" si="29"/>
        <v>0.95432720909906232</v>
      </c>
    </row>
    <row r="152" spans="1:15" ht="42.75" customHeight="1" thickBot="1">
      <c r="A152" s="1627"/>
      <c r="B152" s="1793"/>
      <c r="C152" s="1766" t="s">
        <v>26</v>
      </c>
      <c r="D152" s="1767" t="s">
        <v>844</v>
      </c>
      <c r="E152" s="1707">
        <v>80000</v>
      </c>
      <c r="F152" s="1707">
        <v>180000</v>
      </c>
      <c r="G152" s="1708">
        <v>180000</v>
      </c>
      <c r="H152" s="1621">
        <v>19000</v>
      </c>
      <c r="I152" s="1664">
        <f t="shared" si="29"/>
        <v>0.10555555555555556</v>
      </c>
    </row>
    <row r="153" spans="1:15" ht="16.5" hidden="1" customHeight="1" thickBot="1">
      <c r="A153" s="1614"/>
      <c r="B153" s="1794" t="s">
        <v>262</v>
      </c>
      <c r="C153" s="1795"/>
      <c r="D153" s="1796" t="s">
        <v>91</v>
      </c>
      <c r="E153" s="1797">
        <f>E154</f>
        <v>0</v>
      </c>
      <c r="F153" s="1797">
        <f t="shared" ref="F153:F155" si="33">F154</f>
        <v>0</v>
      </c>
      <c r="G153" s="1662"/>
      <c r="H153" s="1663"/>
      <c r="I153" s="1664" t="e">
        <f t="shared" si="29"/>
        <v>#DIV/0!</v>
      </c>
    </row>
    <row r="154" spans="1:15" ht="15.75" hidden="1" customHeight="1">
      <c r="A154" s="1614"/>
      <c r="B154" s="1684"/>
      <c r="C154" s="5020" t="s">
        <v>793</v>
      </c>
      <c r="D154" s="5020"/>
      <c r="E154" s="1661">
        <f>E155</f>
        <v>0</v>
      </c>
      <c r="F154" s="1661">
        <f t="shared" si="33"/>
        <v>0</v>
      </c>
      <c r="G154" s="1708"/>
      <c r="H154" s="1621"/>
      <c r="I154" s="1664" t="e">
        <f t="shared" si="29"/>
        <v>#DIV/0!</v>
      </c>
    </row>
    <row r="155" spans="1:15" ht="16.5" hidden="1" customHeight="1">
      <c r="A155" s="1614"/>
      <c r="B155" s="1684"/>
      <c r="C155" s="5018" t="s">
        <v>794</v>
      </c>
      <c r="D155" s="5018"/>
      <c r="E155" s="1707">
        <f>E156</f>
        <v>0</v>
      </c>
      <c r="F155" s="1707">
        <f t="shared" si="33"/>
        <v>0</v>
      </c>
      <c r="G155" s="1708"/>
      <c r="H155" s="1621"/>
      <c r="I155" s="1664" t="e">
        <f t="shared" si="29"/>
        <v>#DIV/0!</v>
      </c>
    </row>
    <row r="156" spans="1:15" ht="51.75" hidden="1" thickBot="1">
      <c r="A156" s="1614"/>
      <c r="B156" s="1684"/>
      <c r="C156" s="1772" t="s">
        <v>178</v>
      </c>
      <c r="D156" s="1767" t="s">
        <v>845</v>
      </c>
      <c r="E156" s="1678"/>
      <c r="F156" s="1678">
        <v>0</v>
      </c>
      <c r="G156" s="1708"/>
      <c r="H156" s="1621"/>
      <c r="I156" s="1725" t="e">
        <f t="shared" si="29"/>
        <v>#DIV/0!</v>
      </c>
    </row>
    <row r="157" spans="1:15" ht="17.100000000000001" customHeight="1" thickBot="1">
      <c r="A157" s="1614"/>
      <c r="B157" s="1726" t="s">
        <v>265</v>
      </c>
      <c r="C157" s="1727"/>
      <c r="D157" s="1728" t="s">
        <v>95</v>
      </c>
      <c r="E157" s="1729">
        <f t="shared" ref="E157:H157" si="34">E158</f>
        <v>6705304</v>
      </c>
      <c r="F157" s="1729">
        <f t="shared" si="34"/>
        <v>5991988</v>
      </c>
      <c r="G157" s="1730">
        <f t="shared" si="34"/>
        <v>9734131</v>
      </c>
      <c r="H157" s="1731">
        <f t="shared" si="34"/>
        <v>9465009.5999999996</v>
      </c>
      <c r="I157" s="1732">
        <f t="shared" si="29"/>
        <v>0.97235280684017911</v>
      </c>
      <c r="J157" s="1798"/>
    </row>
    <row r="158" spans="1:15" ht="17.100000000000001" customHeight="1">
      <c r="A158" s="1614"/>
      <c r="B158" s="1684"/>
      <c r="C158" s="4871" t="s">
        <v>760</v>
      </c>
      <c r="D158" s="4871"/>
      <c r="E158" s="1615">
        <f>E159+E178</f>
        <v>6705304</v>
      </c>
      <c r="F158" s="1615">
        <f>F159+F178</f>
        <v>5991988</v>
      </c>
      <c r="G158" s="1616">
        <f>G159+G178</f>
        <v>9734131</v>
      </c>
      <c r="H158" s="1617">
        <f>H159+H178</f>
        <v>9465009.5999999996</v>
      </c>
      <c r="I158" s="1780">
        <f t="shared" si="29"/>
        <v>0.97235280684017911</v>
      </c>
    </row>
    <row r="159" spans="1:15" ht="17.100000000000001" customHeight="1">
      <c r="A159" s="1614"/>
      <c r="B159" s="1684"/>
      <c r="C159" s="5013" t="s">
        <v>761</v>
      </c>
      <c r="D159" s="5013"/>
      <c r="E159" s="1707">
        <f>E167+E160</f>
        <v>3391219</v>
      </c>
      <c r="F159" s="1707">
        <f>F167+F160</f>
        <v>2677988</v>
      </c>
      <c r="G159" s="1799">
        <f>G167+G160</f>
        <v>6419423</v>
      </c>
      <c r="H159" s="1621">
        <f t="shared" ref="H159" si="35">H167+H160</f>
        <v>6238966.2599999998</v>
      </c>
      <c r="I159" s="1769">
        <f t="shared" si="29"/>
        <v>0.97188894702841666</v>
      </c>
    </row>
    <row r="160" spans="1:15" ht="17.100000000000001" customHeight="1">
      <c r="A160" s="1614"/>
      <c r="B160" s="1684"/>
      <c r="C160" s="5023" t="s">
        <v>762</v>
      </c>
      <c r="D160" s="5024"/>
      <c r="E160" s="1781">
        <f>SUM(E161:E165)</f>
        <v>986124</v>
      </c>
      <c r="F160" s="1781">
        <f>SUM(F161:F165)</f>
        <v>1087996</v>
      </c>
      <c r="G160" s="1800">
        <f>SUM(G161:G165)</f>
        <v>1347496</v>
      </c>
      <c r="H160" s="1782">
        <f>SUM(H161:H165)</f>
        <v>1342923.65</v>
      </c>
      <c r="I160" s="1783">
        <f t="shared" si="29"/>
        <v>0.99660678027986715</v>
      </c>
    </row>
    <row r="161" spans="1:9" ht="17.100000000000001" customHeight="1">
      <c r="A161" s="1614"/>
      <c r="B161" s="1684"/>
      <c r="C161" s="1801" t="s">
        <v>61</v>
      </c>
      <c r="D161" s="1802" t="s">
        <v>763</v>
      </c>
      <c r="E161" s="1707">
        <v>815772</v>
      </c>
      <c r="F161" s="1707">
        <v>849262</v>
      </c>
      <c r="G161" s="1708">
        <v>1066324</v>
      </c>
      <c r="H161" s="1621">
        <v>1066323.6399999999</v>
      </c>
      <c r="I161" s="1769">
        <f t="shared" si="29"/>
        <v>0.99999966239154314</v>
      </c>
    </row>
    <row r="162" spans="1:9" ht="17.100000000000001" customHeight="1">
      <c r="A162" s="1614"/>
      <c r="B162" s="1684"/>
      <c r="C162" s="1801" t="s">
        <v>315</v>
      </c>
      <c r="D162" s="1785" t="s">
        <v>764</v>
      </c>
      <c r="E162" s="1707">
        <v>45093</v>
      </c>
      <c r="F162" s="1707">
        <v>61442</v>
      </c>
      <c r="G162" s="1708">
        <v>61442</v>
      </c>
      <c r="H162" s="1621">
        <v>61403</v>
      </c>
      <c r="I162" s="1769">
        <f t="shared" si="29"/>
        <v>0.99936525503727092</v>
      </c>
    </row>
    <row r="163" spans="1:9" ht="17.100000000000001" customHeight="1">
      <c r="A163" s="1614"/>
      <c r="B163" s="1684"/>
      <c r="C163" s="1801" t="s">
        <v>62</v>
      </c>
      <c r="D163" s="1802" t="s">
        <v>765</v>
      </c>
      <c r="E163" s="1707">
        <v>109783</v>
      </c>
      <c r="F163" s="1707">
        <v>155175</v>
      </c>
      <c r="G163" s="1708">
        <v>190335</v>
      </c>
      <c r="H163" s="1621">
        <v>187873.15</v>
      </c>
      <c r="I163" s="1769">
        <f t="shared" si="29"/>
        <v>0.98706569995008797</v>
      </c>
    </row>
    <row r="164" spans="1:9" ht="33" customHeight="1">
      <c r="A164" s="1614"/>
      <c r="B164" s="1684"/>
      <c r="C164" s="1803" t="s">
        <v>63</v>
      </c>
      <c r="D164" s="1804" t="s">
        <v>766</v>
      </c>
      <c r="E164" s="1805">
        <v>15476</v>
      </c>
      <c r="F164" s="1805">
        <v>22117</v>
      </c>
      <c r="G164" s="1788">
        <v>27957</v>
      </c>
      <c r="H164" s="1806">
        <v>26165.33</v>
      </c>
      <c r="I164" s="1769">
        <f t="shared" si="29"/>
        <v>0.93591336695639737</v>
      </c>
    </row>
    <row r="165" spans="1:9" ht="20.25" customHeight="1">
      <c r="A165" s="1614"/>
      <c r="B165" s="1684"/>
      <c r="C165" s="1807" t="s">
        <v>335</v>
      </c>
      <c r="D165" s="1808" t="s">
        <v>768</v>
      </c>
      <c r="E165" s="1707"/>
      <c r="F165" s="1707">
        <v>0</v>
      </c>
      <c r="G165" s="1708">
        <v>1438</v>
      </c>
      <c r="H165" s="1621">
        <v>1158.53</v>
      </c>
      <c r="I165" s="1769">
        <f t="shared" si="29"/>
        <v>0.80565368567454798</v>
      </c>
    </row>
    <row r="166" spans="1:9" ht="17.100000000000001" customHeight="1">
      <c r="A166" s="1614"/>
      <c r="B166" s="1684"/>
      <c r="C166" s="5029"/>
      <c r="D166" s="5030"/>
      <c r="E166" s="1707"/>
      <c r="F166" s="1707"/>
      <c r="G166" s="1708"/>
      <c r="H166" s="1621"/>
      <c r="I166" s="1769"/>
    </row>
    <row r="167" spans="1:9" ht="17.100000000000001" customHeight="1">
      <c r="A167" s="1614"/>
      <c r="B167" s="1684"/>
      <c r="C167" s="5011" t="s">
        <v>769</v>
      </c>
      <c r="D167" s="5011"/>
      <c r="E167" s="1707">
        <f>SUM(E168:E176)</f>
        <v>2405095</v>
      </c>
      <c r="F167" s="1781">
        <f>SUM(F168:F176)</f>
        <v>1589992</v>
      </c>
      <c r="G167" s="1809">
        <f>SUM(G168:G176)</f>
        <v>5071927</v>
      </c>
      <c r="H167" s="1782">
        <f>SUM(H168:H176)</f>
        <v>4896042.6100000003</v>
      </c>
      <c r="I167" s="1783">
        <f t="shared" si="29"/>
        <v>0.96532197920041052</v>
      </c>
    </row>
    <row r="168" spans="1:9" ht="27.75" hidden="1" customHeight="1">
      <c r="A168" s="1614"/>
      <c r="B168" s="1684"/>
      <c r="C168" s="1810" t="s">
        <v>332</v>
      </c>
      <c r="D168" s="1811" t="s">
        <v>770</v>
      </c>
      <c r="E168" s="1707">
        <v>17196</v>
      </c>
      <c r="F168" s="1707">
        <v>0</v>
      </c>
      <c r="G168" s="1708">
        <v>0</v>
      </c>
      <c r="H168" s="1621">
        <v>0</v>
      </c>
      <c r="I168" s="1769" t="e">
        <f t="shared" si="29"/>
        <v>#DIV/0!</v>
      </c>
    </row>
    <row r="169" spans="1:9" ht="17.100000000000001" customHeight="1">
      <c r="A169" s="1614"/>
      <c r="B169" s="1684"/>
      <c r="C169" s="1784" t="s">
        <v>47</v>
      </c>
      <c r="D169" s="1811" t="s">
        <v>818</v>
      </c>
      <c r="E169" s="1707">
        <f>20000+14541</f>
        <v>34541</v>
      </c>
      <c r="F169" s="1707">
        <v>15500</v>
      </c>
      <c r="G169" s="1708">
        <v>15500</v>
      </c>
      <c r="H169" s="1621">
        <v>14674.55</v>
      </c>
      <c r="I169" s="1769">
        <f t="shared" si="29"/>
        <v>0.94674516129032249</v>
      </c>
    </row>
    <row r="170" spans="1:9" ht="17.100000000000001" customHeight="1">
      <c r="A170" s="1614"/>
      <c r="B170" s="1684"/>
      <c r="C170" s="1784" t="s">
        <v>22</v>
      </c>
      <c r="D170" s="1811" t="s">
        <v>771</v>
      </c>
      <c r="E170" s="1707">
        <v>131000</v>
      </c>
      <c r="F170" s="1707">
        <v>46000</v>
      </c>
      <c r="G170" s="1708">
        <v>145320</v>
      </c>
      <c r="H170" s="1621">
        <v>142680</v>
      </c>
      <c r="I170" s="1769">
        <f t="shared" si="29"/>
        <v>0.98183319570602812</v>
      </c>
    </row>
    <row r="171" spans="1:9" ht="17.100000000000001" customHeight="1">
      <c r="A171" s="1614"/>
      <c r="B171" s="1627"/>
      <c r="C171" s="1784" t="s">
        <v>23</v>
      </c>
      <c r="D171" s="1785" t="s">
        <v>776</v>
      </c>
      <c r="E171" s="1707">
        <f>3837+263800</f>
        <v>267637</v>
      </c>
      <c r="F171" s="1707">
        <v>1315412</v>
      </c>
      <c r="G171" s="1708">
        <v>281808</v>
      </c>
      <c r="H171" s="1621">
        <v>224150</v>
      </c>
      <c r="I171" s="1769">
        <f t="shared" si="29"/>
        <v>0.79539970476352695</v>
      </c>
    </row>
    <row r="172" spans="1:9" ht="17.100000000000001" customHeight="1">
      <c r="A172" s="1614"/>
      <c r="B172" s="1627"/>
      <c r="C172" s="1766" t="s">
        <v>327</v>
      </c>
      <c r="D172" s="1787" t="s">
        <v>778</v>
      </c>
      <c r="E172" s="1707">
        <v>720000</v>
      </c>
      <c r="F172" s="1707">
        <v>208080</v>
      </c>
      <c r="G172" s="1708">
        <v>318080</v>
      </c>
      <c r="H172" s="1621">
        <v>209000</v>
      </c>
      <c r="I172" s="1769">
        <f t="shared" si="29"/>
        <v>0.65706740442655931</v>
      </c>
    </row>
    <row r="173" spans="1:9" ht="17.100000000000001" hidden="1" customHeight="1">
      <c r="A173" s="1614"/>
      <c r="B173" s="1627"/>
      <c r="C173" s="1659" t="s">
        <v>319</v>
      </c>
      <c r="D173" s="1660" t="s">
        <v>783</v>
      </c>
      <c r="E173" s="1661">
        <v>0</v>
      </c>
      <c r="F173" s="1661">
        <v>0</v>
      </c>
      <c r="G173" s="1662">
        <v>0</v>
      </c>
      <c r="H173" s="1663">
        <v>0</v>
      </c>
      <c r="I173" s="1664" t="e">
        <f t="shared" si="29"/>
        <v>#DIV/0!</v>
      </c>
    </row>
    <row r="174" spans="1:9" ht="55.5" customHeight="1">
      <c r="A174" s="1614"/>
      <c r="B174" s="1627"/>
      <c r="C174" s="1659" t="s">
        <v>846</v>
      </c>
      <c r="D174" s="1660" t="s">
        <v>833</v>
      </c>
      <c r="E174" s="1661"/>
      <c r="F174" s="1661">
        <v>0</v>
      </c>
      <c r="G174" s="1662">
        <v>15</v>
      </c>
      <c r="H174" s="1663">
        <v>0</v>
      </c>
      <c r="I174" s="1664">
        <f t="shared" si="29"/>
        <v>0</v>
      </c>
    </row>
    <row r="175" spans="1:9">
      <c r="A175" s="1614"/>
      <c r="B175" s="1627"/>
      <c r="C175" s="1784" t="s">
        <v>322</v>
      </c>
      <c r="D175" s="1785" t="s">
        <v>847</v>
      </c>
      <c r="E175" s="1707">
        <v>1229721</v>
      </c>
      <c r="F175" s="1707">
        <v>0</v>
      </c>
      <c r="G175" s="1708">
        <v>4306204</v>
      </c>
      <c r="H175" s="1621">
        <v>4304298.4800000004</v>
      </c>
      <c r="I175" s="1769">
        <f t="shared" si="29"/>
        <v>0.99955749425712304</v>
      </c>
    </row>
    <row r="176" spans="1:9" ht="17.100000000000001" customHeight="1">
      <c r="A176" s="1614"/>
      <c r="B176" s="1627"/>
      <c r="C176" s="1784" t="s">
        <v>848</v>
      </c>
      <c r="D176" s="1785" t="s">
        <v>849</v>
      </c>
      <c r="E176" s="1707">
        <v>5000</v>
      </c>
      <c r="F176" s="1707">
        <v>5000</v>
      </c>
      <c r="G176" s="1708">
        <v>5000</v>
      </c>
      <c r="H176" s="1621">
        <v>1239.58</v>
      </c>
      <c r="I176" s="1769">
        <f t="shared" si="29"/>
        <v>0.247916</v>
      </c>
    </row>
    <row r="177" spans="1:9" ht="17.100000000000001" customHeight="1">
      <c r="A177" s="1614"/>
      <c r="B177" s="1627"/>
      <c r="C177" s="1812"/>
      <c r="D177" s="1812"/>
      <c r="E177" s="1813"/>
      <c r="F177" s="1813"/>
      <c r="G177" s="1708"/>
      <c r="H177" s="1621"/>
      <c r="I177" s="1769"/>
    </row>
    <row r="178" spans="1:9" ht="17.100000000000001" customHeight="1" thickBot="1">
      <c r="A178" s="1644"/>
      <c r="B178" s="1645"/>
      <c r="C178" s="5019" t="s">
        <v>838</v>
      </c>
      <c r="D178" s="5019"/>
      <c r="E178" s="1814">
        <f t="shared" ref="E178" si="36">E179</f>
        <v>3314085</v>
      </c>
      <c r="F178" s="1814">
        <f>SUM(F179:F180)</f>
        <v>3314000</v>
      </c>
      <c r="G178" s="1814">
        <f>SUM(G179:G180)</f>
        <v>3314708</v>
      </c>
      <c r="H178" s="1815">
        <f>SUM(H179:H180)</f>
        <v>3226043.3400000003</v>
      </c>
      <c r="I178" s="1651">
        <f t="shared" si="29"/>
        <v>0.9732511400702567</v>
      </c>
    </row>
    <row r="179" spans="1:9" ht="53.25" customHeight="1">
      <c r="A179" s="4716"/>
      <c r="B179" s="1638"/>
      <c r="C179" s="1690" t="s">
        <v>44</v>
      </c>
      <c r="D179" s="1816" t="s">
        <v>850</v>
      </c>
      <c r="E179" s="1661">
        <v>3314085</v>
      </c>
      <c r="F179" s="1661">
        <v>3314000</v>
      </c>
      <c r="G179" s="1662">
        <v>3314000</v>
      </c>
      <c r="H179" s="1663">
        <v>3225336.24</v>
      </c>
      <c r="I179" s="1664">
        <f t="shared" si="29"/>
        <v>0.97324569704284858</v>
      </c>
    </row>
    <row r="180" spans="1:9" ht="53.25" customHeight="1" thickBot="1">
      <c r="A180" s="4716"/>
      <c r="B180" s="1638"/>
      <c r="C180" s="1695" t="s">
        <v>201</v>
      </c>
      <c r="D180" s="1696" t="s">
        <v>422</v>
      </c>
      <c r="E180" s="1668"/>
      <c r="F180" s="1668">
        <v>0</v>
      </c>
      <c r="G180" s="1817">
        <v>708</v>
      </c>
      <c r="H180" s="1818">
        <v>707.1</v>
      </c>
      <c r="I180" s="1725">
        <f t="shared" si="29"/>
        <v>0.99872881355932208</v>
      </c>
    </row>
    <row r="181" spans="1:9" ht="17.100000000000001" customHeight="1" thickBot="1">
      <c r="A181" s="1819" t="s">
        <v>397</v>
      </c>
      <c r="B181" s="1820"/>
      <c r="C181" s="1821"/>
      <c r="D181" s="1822" t="s">
        <v>851</v>
      </c>
      <c r="E181" s="1823">
        <f>SUM(E182)</f>
        <v>523334</v>
      </c>
      <c r="F181" s="1823">
        <f t="shared" ref="E181:H182" si="37">SUM(F182)</f>
        <v>490000</v>
      </c>
      <c r="G181" s="1824">
        <f>SUM(G182)</f>
        <v>460000</v>
      </c>
      <c r="H181" s="1825">
        <f t="shared" si="37"/>
        <v>428762.55</v>
      </c>
      <c r="I181" s="1826">
        <f t="shared" si="29"/>
        <v>0.93209249999999999</v>
      </c>
    </row>
    <row r="182" spans="1:9" ht="42.75" customHeight="1" thickBot="1">
      <c r="A182" s="1614"/>
      <c r="B182" s="1726" t="s">
        <v>399</v>
      </c>
      <c r="C182" s="1727"/>
      <c r="D182" s="1728" t="s">
        <v>852</v>
      </c>
      <c r="E182" s="1729">
        <f t="shared" si="37"/>
        <v>523334</v>
      </c>
      <c r="F182" s="1729">
        <f t="shared" si="37"/>
        <v>490000</v>
      </c>
      <c r="G182" s="1730">
        <f t="shared" si="37"/>
        <v>460000</v>
      </c>
      <c r="H182" s="1731">
        <f t="shared" si="37"/>
        <v>428762.55</v>
      </c>
      <c r="I182" s="1732">
        <f t="shared" si="29"/>
        <v>0.93209249999999999</v>
      </c>
    </row>
    <row r="183" spans="1:9" ht="17.100000000000001" customHeight="1">
      <c r="A183" s="1614"/>
      <c r="B183" s="4687"/>
      <c r="C183" s="4871" t="s">
        <v>760</v>
      </c>
      <c r="D183" s="4871"/>
      <c r="E183" s="1615">
        <f t="shared" ref="E183:H183" si="38">E184</f>
        <v>523334</v>
      </c>
      <c r="F183" s="1615">
        <f t="shared" si="38"/>
        <v>490000</v>
      </c>
      <c r="G183" s="1616">
        <f t="shared" si="38"/>
        <v>460000</v>
      </c>
      <c r="H183" s="1617">
        <f t="shared" si="38"/>
        <v>428762.55</v>
      </c>
      <c r="I183" s="1780">
        <f t="shared" si="29"/>
        <v>0.93209249999999999</v>
      </c>
    </row>
    <row r="184" spans="1:9" ht="27.75" customHeight="1">
      <c r="A184" s="1614"/>
      <c r="B184" s="4687"/>
      <c r="C184" s="5013" t="s">
        <v>803</v>
      </c>
      <c r="D184" s="5013"/>
      <c r="E184" s="1707">
        <f>SUM(E185:E213)</f>
        <v>523334</v>
      </c>
      <c r="F184" s="1707">
        <f>SUM(F185:F213)</f>
        <v>490000</v>
      </c>
      <c r="G184" s="1620">
        <f>SUM(G185:G213)</f>
        <v>460000</v>
      </c>
      <c r="H184" s="1621">
        <f t="shared" ref="H184" si="39">SUM(H185:H213)</f>
        <v>428762.55</v>
      </c>
      <c r="I184" s="1769">
        <f t="shared" si="29"/>
        <v>0.93209249999999999</v>
      </c>
    </row>
    <row r="185" spans="1:9" ht="42.75" hidden="1" customHeight="1">
      <c r="A185" s="1614"/>
      <c r="B185" s="4687"/>
      <c r="C185" s="1807" t="s">
        <v>687</v>
      </c>
      <c r="D185" s="1827" t="s">
        <v>853</v>
      </c>
      <c r="E185" s="1707">
        <v>2103</v>
      </c>
      <c r="F185" s="1707">
        <v>0</v>
      </c>
      <c r="G185" s="1708"/>
      <c r="H185" s="1621"/>
      <c r="I185" s="1769" t="e">
        <f t="shared" si="29"/>
        <v>#DIV/0!</v>
      </c>
    </row>
    <row r="186" spans="1:9" ht="39" hidden="1" customHeight="1">
      <c r="A186" s="1614"/>
      <c r="B186" s="4687"/>
      <c r="C186" s="1807" t="s">
        <v>634</v>
      </c>
      <c r="D186" s="1827" t="s">
        <v>853</v>
      </c>
      <c r="E186" s="1707">
        <v>701</v>
      </c>
      <c r="F186" s="1707">
        <v>0</v>
      </c>
      <c r="G186" s="1708"/>
      <c r="H186" s="1621"/>
      <c r="I186" s="1769" t="e">
        <f t="shared" si="29"/>
        <v>#DIV/0!</v>
      </c>
    </row>
    <row r="187" spans="1:9" ht="17.100000000000001" customHeight="1">
      <c r="A187" s="1614"/>
      <c r="B187" s="4687"/>
      <c r="C187" s="1784" t="s">
        <v>807</v>
      </c>
      <c r="D187" s="1785" t="s">
        <v>763</v>
      </c>
      <c r="E187" s="1707">
        <v>288750</v>
      </c>
      <c r="F187" s="1707">
        <v>275125</v>
      </c>
      <c r="G187" s="1708">
        <v>226375</v>
      </c>
      <c r="H187" s="1621">
        <v>224535.27</v>
      </c>
      <c r="I187" s="1769">
        <f t="shared" si="29"/>
        <v>0.99187308669243512</v>
      </c>
    </row>
    <row r="188" spans="1:9" ht="17.100000000000001" customHeight="1">
      <c r="A188" s="1614"/>
      <c r="B188" s="1627"/>
      <c r="C188" s="1784" t="s">
        <v>808</v>
      </c>
      <c r="D188" s="1785" t="s">
        <v>763</v>
      </c>
      <c r="E188" s="1707">
        <v>96250</v>
      </c>
      <c r="F188" s="1707">
        <v>92375</v>
      </c>
      <c r="G188" s="1708">
        <v>76125</v>
      </c>
      <c r="H188" s="1621">
        <v>74845.17</v>
      </c>
      <c r="I188" s="1769">
        <f t="shared" si="29"/>
        <v>0.98318778325123146</v>
      </c>
    </row>
    <row r="189" spans="1:9" ht="17.100000000000001" customHeight="1">
      <c r="A189" s="1614"/>
      <c r="B189" s="1627"/>
      <c r="C189" s="1784" t="s">
        <v>809</v>
      </c>
      <c r="D189" s="1785" t="s">
        <v>764</v>
      </c>
      <c r="E189" s="1707">
        <v>22500</v>
      </c>
      <c r="F189" s="1707">
        <v>19500</v>
      </c>
      <c r="G189" s="1708">
        <v>18000</v>
      </c>
      <c r="H189" s="1621">
        <v>17481.47</v>
      </c>
      <c r="I189" s="1769">
        <f t="shared" si="29"/>
        <v>0.97119277777777779</v>
      </c>
    </row>
    <row r="190" spans="1:9" ht="17.100000000000001" customHeight="1">
      <c r="A190" s="1614"/>
      <c r="B190" s="1627"/>
      <c r="C190" s="1784" t="s">
        <v>810</v>
      </c>
      <c r="D190" s="1785" t="s">
        <v>764</v>
      </c>
      <c r="E190" s="1707">
        <v>7500</v>
      </c>
      <c r="F190" s="1707">
        <v>6500</v>
      </c>
      <c r="G190" s="1708">
        <v>6000</v>
      </c>
      <c r="H190" s="1621">
        <v>5827.16</v>
      </c>
      <c r="I190" s="1769">
        <f t="shared" si="29"/>
        <v>0.97119333333333335</v>
      </c>
    </row>
    <row r="191" spans="1:9" ht="17.100000000000001" customHeight="1">
      <c r="A191" s="1614"/>
      <c r="B191" s="1627"/>
      <c r="C191" s="1784" t="s">
        <v>811</v>
      </c>
      <c r="D191" s="1785" t="s">
        <v>765</v>
      </c>
      <c r="E191" s="1707">
        <v>54000</v>
      </c>
      <c r="F191" s="1707">
        <v>50325</v>
      </c>
      <c r="G191" s="1708">
        <v>46575</v>
      </c>
      <c r="H191" s="1621">
        <v>41335.730000000003</v>
      </c>
      <c r="I191" s="1769">
        <f t="shared" si="29"/>
        <v>0.88750896403650037</v>
      </c>
    </row>
    <row r="192" spans="1:9" ht="17.100000000000001" customHeight="1">
      <c r="A192" s="1614"/>
      <c r="B192" s="1627"/>
      <c r="C192" s="1784" t="s">
        <v>812</v>
      </c>
      <c r="D192" s="1785" t="s">
        <v>765</v>
      </c>
      <c r="E192" s="1707">
        <v>18000</v>
      </c>
      <c r="F192" s="1707">
        <v>16775</v>
      </c>
      <c r="G192" s="1708">
        <v>15525</v>
      </c>
      <c r="H192" s="1621">
        <v>13779.05</v>
      </c>
      <c r="I192" s="1769">
        <f t="shared" si="29"/>
        <v>0.88753945249597421</v>
      </c>
    </row>
    <row r="193" spans="1:9" ht="27.75" customHeight="1">
      <c r="A193" s="1614"/>
      <c r="B193" s="1627"/>
      <c r="C193" s="1784" t="s">
        <v>813</v>
      </c>
      <c r="D193" s="1785" t="s">
        <v>766</v>
      </c>
      <c r="E193" s="1707">
        <v>7500</v>
      </c>
      <c r="F193" s="1707">
        <v>7050</v>
      </c>
      <c r="G193" s="1708">
        <v>7050</v>
      </c>
      <c r="H193" s="1621">
        <v>4996.17</v>
      </c>
      <c r="I193" s="1769">
        <f t="shared" si="29"/>
        <v>0.70867659574468089</v>
      </c>
    </row>
    <row r="194" spans="1:9" ht="28.5" customHeight="1">
      <c r="A194" s="1614"/>
      <c r="B194" s="1627"/>
      <c r="C194" s="1784" t="s">
        <v>814</v>
      </c>
      <c r="D194" s="1785" t="s">
        <v>766</v>
      </c>
      <c r="E194" s="1707">
        <v>2500</v>
      </c>
      <c r="F194" s="1707">
        <v>2350</v>
      </c>
      <c r="G194" s="1708">
        <v>2350</v>
      </c>
      <c r="H194" s="1621">
        <v>1665.43</v>
      </c>
      <c r="I194" s="1769">
        <f t="shared" si="29"/>
        <v>0.70869361702127665</v>
      </c>
    </row>
    <row r="195" spans="1:9" ht="17.100000000000001" hidden="1" customHeight="1">
      <c r="A195" s="1614"/>
      <c r="B195" s="1627"/>
      <c r="C195" s="1784" t="s">
        <v>815</v>
      </c>
      <c r="D195" s="1785" t="s">
        <v>767</v>
      </c>
      <c r="E195" s="1707"/>
      <c r="F195" s="1707"/>
      <c r="G195" s="1708"/>
      <c r="H195" s="1621"/>
      <c r="I195" s="1769" t="e">
        <f t="shared" si="29"/>
        <v>#DIV/0!</v>
      </c>
    </row>
    <row r="196" spans="1:9" ht="17.100000000000001" hidden="1" customHeight="1">
      <c r="A196" s="1614"/>
      <c r="B196" s="1627"/>
      <c r="C196" s="1784" t="s">
        <v>816</v>
      </c>
      <c r="D196" s="1785" t="s">
        <v>767</v>
      </c>
      <c r="E196" s="1707"/>
      <c r="F196" s="1707"/>
      <c r="G196" s="1708"/>
      <c r="H196" s="1621"/>
      <c r="I196" s="1769" t="e">
        <f t="shared" si="29"/>
        <v>#DIV/0!</v>
      </c>
    </row>
    <row r="197" spans="1:9" ht="17.100000000000001" customHeight="1">
      <c r="A197" s="1614"/>
      <c r="B197" s="1627"/>
      <c r="C197" s="1784" t="s">
        <v>820</v>
      </c>
      <c r="D197" s="1785" t="s">
        <v>771</v>
      </c>
      <c r="E197" s="1707">
        <v>3000</v>
      </c>
      <c r="F197" s="1707">
        <v>5250</v>
      </c>
      <c r="G197" s="1708">
        <v>5250</v>
      </c>
      <c r="H197" s="1621">
        <v>4688.2700000000004</v>
      </c>
      <c r="I197" s="1769">
        <f t="shared" si="29"/>
        <v>0.89300380952380964</v>
      </c>
    </row>
    <row r="198" spans="1:9" ht="17.100000000000001" customHeight="1">
      <c r="A198" s="1614"/>
      <c r="B198" s="1627"/>
      <c r="C198" s="1766" t="s">
        <v>821</v>
      </c>
      <c r="D198" s="1787" t="s">
        <v>771</v>
      </c>
      <c r="E198" s="1707">
        <v>1000</v>
      </c>
      <c r="F198" s="1707">
        <v>1750</v>
      </c>
      <c r="G198" s="1708">
        <v>1750</v>
      </c>
      <c r="H198" s="1621">
        <v>1562.8</v>
      </c>
      <c r="I198" s="1769">
        <f t="shared" si="29"/>
        <v>0.89302857142857139</v>
      </c>
    </row>
    <row r="199" spans="1:9" ht="17.100000000000001" customHeight="1">
      <c r="A199" s="1614"/>
      <c r="B199" s="1627"/>
      <c r="C199" s="1659" t="s">
        <v>822</v>
      </c>
      <c r="D199" s="1660" t="s">
        <v>774</v>
      </c>
      <c r="E199" s="1661">
        <v>2250</v>
      </c>
      <c r="F199" s="1661">
        <v>2250</v>
      </c>
      <c r="G199" s="1662">
        <v>2250</v>
      </c>
      <c r="H199" s="1663">
        <v>769.77</v>
      </c>
      <c r="I199" s="1664">
        <f t="shared" si="29"/>
        <v>0.34211999999999998</v>
      </c>
    </row>
    <row r="200" spans="1:9" ht="17.100000000000001" customHeight="1">
      <c r="A200" s="1614"/>
      <c r="B200" s="1627"/>
      <c r="C200" s="1784" t="s">
        <v>823</v>
      </c>
      <c r="D200" s="1785" t="s">
        <v>774</v>
      </c>
      <c r="E200" s="1707">
        <v>750</v>
      </c>
      <c r="F200" s="1707">
        <v>750</v>
      </c>
      <c r="G200" s="1708">
        <v>750</v>
      </c>
      <c r="H200" s="1621">
        <v>256.60000000000002</v>
      </c>
      <c r="I200" s="1769">
        <f t="shared" si="29"/>
        <v>0.34213333333333334</v>
      </c>
    </row>
    <row r="201" spans="1:9" ht="17.100000000000001" customHeight="1">
      <c r="A201" s="1614"/>
      <c r="B201" s="1627"/>
      <c r="C201" s="1784" t="s">
        <v>824</v>
      </c>
      <c r="D201" s="1785" t="s">
        <v>776</v>
      </c>
      <c r="E201" s="1707">
        <v>1500</v>
      </c>
      <c r="F201" s="1707">
        <v>3750</v>
      </c>
      <c r="G201" s="1708">
        <v>33750</v>
      </c>
      <c r="H201" s="1621">
        <v>26371.31</v>
      </c>
      <c r="I201" s="1769">
        <f t="shared" si="29"/>
        <v>0.78137214814814815</v>
      </c>
    </row>
    <row r="202" spans="1:9" ht="15.75" customHeight="1">
      <c r="A202" s="1614"/>
      <c r="B202" s="1627"/>
      <c r="C202" s="1784" t="s">
        <v>825</v>
      </c>
      <c r="D202" s="1785" t="s">
        <v>776</v>
      </c>
      <c r="E202" s="1707">
        <v>500</v>
      </c>
      <c r="F202" s="1707">
        <v>1250</v>
      </c>
      <c r="G202" s="1708">
        <v>11250</v>
      </c>
      <c r="H202" s="1621">
        <v>8790.44</v>
      </c>
      <c r="I202" s="1769">
        <f t="shared" si="29"/>
        <v>0.78137244444444454</v>
      </c>
    </row>
    <row r="203" spans="1:9" ht="15.75" hidden="1" customHeight="1">
      <c r="A203" s="1614"/>
      <c r="B203" s="1627"/>
      <c r="C203" s="1784" t="s">
        <v>826</v>
      </c>
      <c r="D203" s="1785" t="s">
        <v>854</v>
      </c>
      <c r="E203" s="1707"/>
      <c r="F203" s="1707"/>
      <c r="G203" s="1708"/>
      <c r="H203" s="1621"/>
      <c r="I203" s="1769" t="e">
        <f t="shared" si="29"/>
        <v>#DIV/0!</v>
      </c>
    </row>
    <row r="204" spans="1:9" ht="16.5" hidden="1" customHeight="1">
      <c r="A204" s="1614"/>
      <c r="B204" s="1627"/>
      <c r="C204" s="1784" t="s">
        <v>827</v>
      </c>
      <c r="D204" s="1785" t="s">
        <v>854</v>
      </c>
      <c r="E204" s="1707"/>
      <c r="F204" s="1707"/>
      <c r="G204" s="1708"/>
      <c r="H204" s="1621"/>
      <c r="I204" s="1769" t="e">
        <f t="shared" si="29"/>
        <v>#DIV/0!</v>
      </c>
    </row>
    <row r="205" spans="1:9" ht="17.100000000000001" customHeight="1" thickBot="1">
      <c r="A205" s="1644"/>
      <c r="B205" s="1645"/>
      <c r="C205" s="1770" t="s">
        <v>828</v>
      </c>
      <c r="D205" s="1828" t="s">
        <v>781</v>
      </c>
      <c r="E205" s="1678">
        <v>3750</v>
      </c>
      <c r="F205" s="1678">
        <v>1500</v>
      </c>
      <c r="G205" s="1792">
        <v>1500</v>
      </c>
      <c r="H205" s="1747">
        <v>0</v>
      </c>
      <c r="I205" s="1651">
        <f t="shared" si="29"/>
        <v>0</v>
      </c>
    </row>
    <row r="206" spans="1:9" ht="17.100000000000001" customHeight="1">
      <c r="A206" s="1614"/>
      <c r="B206" s="1627"/>
      <c r="C206" s="1659" t="s">
        <v>829</v>
      </c>
      <c r="D206" s="1660" t="s">
        <v>781</v>
      </c>
      <c r="E206" s="1661">
        <v>1250</v>
      </c>
      <c r="F206" s="1661">
        <v>500</v>
      </c>
      <c r="G206" s="1662">
        <v>500</v>
      </c>
      <c r="H206" s="1663">
        <v>0</v>
      </c>
      <c r="I206" s="1664">
        <f t="shared" si="29"/>
        <v>0</v>
      </c>
    </row>
    <row r="207" spans="1:9" ht="15" customHeight="1">
      <c r="A207" s="1614"/>
      <c r="B207" s="1627"/>
      <c r="C207" s="1784" t="s">
        <v>830</v>
      </c>
      <c r="D207" s="1785" t="s">
        <v>782</v>
      </c>
      <c r="E207" s="1707">
        <v>1500</v>
      </c>
      <c r="F207" s="1707">
        <v>750</v>
      </c>
      <c r="G207" s="1708">
        <v>750</v>
      </c>
      <c r="H207" s="1621">
        <v>267.18</v>
      </c>
      <c r="I207" s="1664">
        <f t="shared" si="29"/>
        <v>0.35624</v>
      </c>
    </row>
    <row r="208" spans="1:9" ht="15" customHeight="1">
      <c r="A208" s="1614"/>
      <c r="B208" s="1627"/>
      <c r="C208" s="1784" t="s">
        <v>831</v>
      </c>
      <c r="D208" s="1785" t="s">
        <v>782</v>
      </c>
      <c r="E208" s="1707">
        <v>500</v>
      </c>
      <c r="F208" s="1707">
        <v>250</v>
      </c>
      <c r="G208" s="1708">
        <v>250</v>
      </c>
      <c r="H208" s="1621">
        <v>89.07</v>
      </c>
      <c r="I208" s="1664">
        <f t="shared" ref="I208:I278" si="40">H208/G208</f>
        <v>0.35627999999999999</v>
      </c>
    </row>
    <row r="209" spans="1:9" ht="37.5" hidden="1" customHeight="1">
      <c r="A209" s="1614"/>
      <c r="B209" s="1627"/>
      <c r="C209" s="1784" t="s">
        <v>832</v>
      </c>
      <c r="D209" s="1785" t="s">
        <v>833</v>
      </c>
      <c r="E209" s="1707">
        <v>530</v>
      </c>
      <c r="F209" s="1707"/>
      <c r="G209" s="1708"/>
      <c r="H209" s="1621"/>
      <c r="I209" s="1664" t="e">
        <f t="shared" si="40"/>
        <v>#DIV/0!</v>
      </c>
    </row>
    <row r="210" spans="1:9" ht="27" customHeight="1">
      <c r="A210" s="1614"/>
      <c r="B210" s="1627"/>
      <c r="C210" s="1784" t="s">
        <v>834</v>
      </c>
      <c r="D210" s="1785" t="s">
        <v>790</v>
      </c>
      <c r="E210" s="1707">
        <v>5250</v>
      </c>
      <c r="F210" s="1707">
        <v>1500</v>
      </c>
      <c r="G210" s="1708">
        <v>1500</v>
      </c>
      <c r="H210" s="1621">
        <v>250.5</v>
      </c>
      <c r="I210" s="1664">
        <f t="shared" si="40"/>
        <v>0.16700000000000001</v>
      </c>
    </row>
    <row r="211" spans="1:9" ht="27" customHeight="1">
      <c r="A211" s="1614"/>
      <c r="B211" s="1627"/>
      <c r="C211" s="1772" t="s">
        <v>835</v>
      </c>
      <c r="D211" s="1767" t="s">
        <v>790</v>
      </c>
      <c r="E211" s="1707">
        <v>1750</v>
      </c>
      <c r="F211" s="1707">
        <v>500</v>
      </c>
      <c r="G211" s="1829">
        <v>500</v>
      </c>
      <c r="H211" s="1830">
        <v>83.5</v>
      </c>
      <c r="I211" s="1664">
        <f t="shared" si="40"/>
        <v>0.16700000000000001</v>
      </c>
    </row>
    <row r="212" spans="1:9" ht="27" customHeight="1">
      <c r="A212" s="1614"/>
      <c r="B212" s="1627"/>
      <c r="C212" s="1695" t="s">
        <v>836</v>
      </c>
      <c r="D212" s="1696" t="s">
        <v>768</v>
      </c>
      <c r="E212" s="1668"/>
      <c r="F212" s="1668">
        <v>0</v>
      </c>
      <c r="G212" s="1829">
        <v>1500</v>
      </c>
      <c r="H212" s="1830">
        <v>875.7</v>
      </c>
      <c r="I212" s="1664">
        <f t="shared" si="40"/>
        <v>0.58379999999999999</v>
      </c>
    </row>
    <row r="213" spans="1:9" ht="28.5" customHeight="1" thickBot="1">
      <c r="A213" s="1644"/>
      <c r="B213" s="1645"/>
      <c r="C213" s="1831" t="s">
        <v>837</v>
      </c>
      <c r="D213" s="1771" t="s">
        <v>768</v>
      </c>
      <c r="E213" s="1678"/>
      <c r="F213" s="1678">
        <v>0</v>
      </c>
      <c r="G213" s="1792">
        <v>500</v>
      </c>
      <c r="H213" s="1747">
        <v>291.95999999999998</v>
      </c>
      <c r="I213" s="1651">
        <f t="shared" si="40"/>
        <v>0.58391999999999999</v>
      </c>
    </row>
    <row r="214" spans="1:9" ht="17.100000000000001" customHeight="1" thickBot="1">
      <c r="A214" s="1819" t="s">
        <v>409</v>
      </c>
      <c r="B214" s="1820"/>
      <c r="C214" s="1832"/>
      <c r="D214" s="1833" t="s">
        <v>855</v>
      </c>
      <c r="E214" s="1823">
        <f>E215</f>
        <v>21653174</v>
      </c>
      <c r="F214" s="1823">
        <f t="shared" ref="F214:H214" si="41">F215</f>
        <v>28696068</v>
      </c>
      <c r="G214" s="1824">
        <f>G215</f>
        <v>20268016</v>
      </c>
      <c r="H214" s="1825">
        <f t="shared" si="41"/>
        <v>13797911.610000001</v>
      </c>
      <c r="I214" s="1826">
        <f t="shared" si="40"/>
        <v>0.68077268194380747</v>
      </c>
    </row>
    <row r="215" spans="1:9" ht="17.100000000000001" customHeight="1" thickBot="1">
      <c r="A215" s="1614"/>
      <c r="B215" s="1726" t="s">
        <v>411</v>
      </c>
      <c r="C215" s="1727"/>
      <c r="D215" s="1728" t="s">
        <v>412</v>
      </c>
      <c r="E215" s="1729">
        <f>E216+E238</f>
        <v>21653174</v>
      </c>
      <c r="F215" s="1729">
        <f>F216+F238</f>
        <v>28696068</v>
      </c>
      <c r="G215" s="1730">
        <f>G216+G238</f>
        <v>20268016</v>
      </c>
      <c r="H215" s="1731">
        <f>H216+H238</f>
        <v>13797911.610000001</v>
      </c>
      <c r="I215" s="1732">
        <f t="shared" si="40"/>
        <v>0.68077268194380747</v>
      </c>
    </row>
    <row r="216" spans="1:9" ht="17.100000000000001" customHeight="1">
      <c r="A216" s="1614"/>
      <c r="B216" s="4687"/>
      <c r="C216" s="4871" t="s">
        <v>760</v>
      </c>
      <c r="D216" s="4871"/>
      <c r="E216" s="1615">
        <f>E217+E223</f>
        <v>11569428</v>
      </c>
      <c r="F216" s="1615">
        <f>F217+F223</f>
        <v>22320759</v>
      </c>
      <c r="G216" s="1616">
        <f>G217+G223</f>
        <v>20107232</v>
      </c>
      <c r="H216" s="1617">
        <f>H217+H223</f>
        <v>13698726.850000001</v>
      </c>
      <c r="I216" s="1780">
        <f t="shared" si="40"/>
        <v>0.68128357249769644</v>
      </c>
    </row>
    <row r="217" spans="1:9" ht="17.100000000000001" customHeight="1">
      <c r="A217" s="1614"/>
      <c r="B217" s="4687"/>
      <c r="C217" s="5013" t="s">
        <v>838</v>
      </c>
      <c r="D217" s="5013"/>
      <c r="E217" s="1707">
        <f>SUM(E218:E221)</f>
        <v>1567173</v>
      </c>
      <c r="F217" s="1707">
        <f>SUM(F218:F221)</f>
        <v>6390067</v>
      </c>
      <c r="G217" s="1620">
        <f>SUM(G218:G221)</f>
        <v>8145956</v>
      </c>
      <c r="H217" s="1621">
        <f>SUM(H218:H221)</f>
        <v>7162476.6500000004</v>
      </c>
      <c r="I217" s="1769">
        <f t="shared" si="40"/>
        <v>0.87926778023352947</v>
      </c>
    </row>
    <row r="218" spans="1:9" ht="69" customHeight="1">
      <c r="A218" s="1614"/>
      <c r="B218" s="4687"/>
      <c r="C218" s="1784" t="s">
        <v>689</v>
      </c>
      <c r="D218" s="1785" t="s">
        <v>856</v>
      </c>
      <c r="E218" s="1834">
        <v>1286585</v>
      </c>
      <c r="F218" s="1834">
        <v>6390067</v>
      </c>
      <c r="G218" s="1835">
        <v>8131793</v>
      </c>
      <c r="H218" s="1621">
        <v>7148314.9299999997</v>
      </c>
      <c r="I218" s="1769">
        <f t="shared" si="40"/>
        <v>0.8790576604692224</v>
      </c>
    </row>
    <row r="219" spans="1:9" ht="51" hidden="1">
      <c r="A219" s="1614"/>
      <c r="B219" s="4687"/>
      <c r="C219" s="1836" t="s">
        <v>528</v>
      </c>
      <c r="D219" s="1837" t="s">
        <v>805</v>
      </c>
      <c r="E219" s="1838">
        <v>0</v>
      </c>
      <c r="F219" s="1838">
        <v>0</v>
      </c>
      <c r="G219" s="1835">
        <v>0</v>
      </c>
      <c r="H219" s="1621">
        <v>0</v>
      </c>
      <c r="I219" s="1769" t="e">
        <f t="shared" si="40"/>
        <v>#DIV/0!</v>
      </c>
    </row>
    <row r="220" spans="1:9" ht="51">
      <c r="A220" s="1614"/>
      <c r="B220" s="1684"/>
      <c r="C220" s="1839" t="s">
        <v>634</v>
      </c>
      <c r="D220" s="1840" t="s">
        <v>857</v>
      </c>
      <c r="E220" s="1838"/>
      <c r="F220" s="1838">
        <v>0</v>
      </c>
      <c r="G220" s="1835">
        <v>5884</v>
      </c>
      <c r="H220" s="1621">
        <v>5883.4</v>
      </c>
      <c r="I220" s="1769">
        <f t="shared" si="40"/>
        <v>0.99989802855200538</v>
      </c>
    </row>
    <row r="221" spans="1:9" ht="15" customHeight="1">
      <c r="A221" s="1614"/>
      <c r="B221" s="1684"/>
      <c r="C221" s="1841" t="s">
        <v>635</v>
      </c>
      <c r="D221" s="1842" t="s">
        <v>858</v>
      </c>
      <c r="E221" s="1838">
        <v>280588</v>
      </c>
      <c r="F221" s="1838">
        <v>0</v>
      </c>
      <c r="G221" s="1835">
        <v>8279</v>
      </c>
      <c r="H221" s="1621">
        <v>8278.32</v>
      </c>
      <c r="I221" s="1769">
        <f t="shared" si="40"/>
        <v>0.99991786447638598</v>
      </c>
    </row>
    <row r="222" spans="1:9" ht="17.100000000000001" customHeight="1">
      <c r="A222" s="1614"/>
      <c r="B222" s="1684"/>
      <c r="C222" s="1843"/>
      <c r="D222" s="1844"/>
      <c r="E222" s="1711"/>
      <c r="F222" s="1711"/>
      <c r="G222" s="1835"/>
      <c r="H222" s="1621"/>
      <c r="I222" s="1769"/>
    </row>
    <row r="223" spans="1:9" ht="29.25" customHeight="1">
      <c r="A223" s="1614"/>
      <c r="B223" s="1684"/>
      <c r="C223" s="4978" t="s">
        <v>803</v>
      </c>
      <c r="D223" s="4978"/>
      <c r="E223" s="1845">
        <f>SUM(E224:E236)</f>
        <v>10002255</v>
      </c>
      <c r="F223" s="1845">
        <f t="shared" ref="F223:H223" si="42">SUM(F224:F236)</f>
        <v>15930692</v>
      </c>
      <c r="G223" s="1846">
        <f>SUM(G224:G236)</f>
        <v>11961276</v>
      </c>
      <c r="H223" s="1847">
        <f t="shared" si="42"/>
        <v>6536250.2000000002</v>
      </c>
      <c r="I223" s="1769">
        <f t="shared" si="40"/>
        <v>0.54645091376538757</v>
      </c>
    </row>
    <row r="224" spans="1:9" ht="64.5" customHeight="1">
      <c r="A224" s="1614"/>
      <c r="B224" s="1684"/>
      <c r="C224" s="1772" t="s">
        <v>535</v>
      </c>
      <c r="D224" s="1787" t="s">
        <v>856</v>
      </c>
      <c r="E224" s="1848">
        <v>8724375</v>
      </c>
      <c r="F224" s="1848">
        <v>15490692</v>
      </c>
      <c r="G224" s="1788">
        <f>690387+9243950</f>
        <v>9934337</v>
      </c>
      <c r="H224" s="1806">
        <v>4512424.34</v>
      </c>
      <c r="I224" s="1769">
        <f t="shared" si="40"/>
        <v>0.45422501169428819</v>
      </c>
    </row>
    <row r="225" spans="1:9" ht="45" hidden="1" customHeight="1">
      <c r="A225" s="1614"/>
      <c r="B225" s="1684"/>
      <c r="C225" s="1695" t="s">
        <v>495</v>
      </c>
      <c r="D225" s="1837" t="s">
        <v>422</v>
      </c>
      <c r="E225" s="1713">
        <v>49</v>
      </c>
      <c r="F225" s="1713"/>
      <c r="G225" s="1835"/>
      <c r="H225" s="1621"/>
      <c r="I225" s="1769" t="e">
        <f t="shared" si="40"/>
        <v>#DIV/0!</v>
      </c>
    </row>
    <row r="226" spans="1:9" ht="16.5" customHeight="1" thickBot="1">
      <c r="A226" s="1644"/>
      <c r="B226" s="1849"/>
      <c r="C226" s="1770" t="s">
        <v>675</v>
      </c>
      <c r="D226" s="1828" t="s">
        <v>858</v>
      </c>
      <c r="E226" s="1850">
        <v>552241</v>
      </c>
      <c r="F226" s="1850">
        <v>0</v>
      </c>
      <c r="G226" s="1792">
        <v>1879490</v>
      </c>
      <c r="H226" s="1747">
        <v>1876378.06</v>
      </c>
      <c r="I226" s="1651">
        <f t="shared" si="40"/>
        <v>0.99834426360342432</v>
      </c>
    </row>
    <row r="227" spans="1:9" ht="17.100000000000001" customHeight="1">
      <c r="A227" s="1851"/>
      <c r="B227" s="1852"/>
      <c r="C227" s="1853" t="s">
        <v>859</v>
      </c>
      <c r="D227" s="1854" t="s">
        <v>763</v>
      </c>
      <c r="E227" s="1855">
        <v>159536</v>
      </c>
      <c r="F227" s="1855">
        <v>247469</v>
      </c>
      <c r="G227" s="1856">
        <v>124749</v>
      </c>
      <c r="H227" s="1657">
        <v>124748.72</v>
      </c>
      <c r="I227" s="1658">
        <f t="shared" si="40"/>
        <v>0.99999775549303005</v>
      </c>
    </row>
    <row r="228" spans="1:9" ht="17.100000000000001" customHeight="1">
      <c r="A228" s="1614"/>
      <c r="B228" s="1684"/>
      <c r="C228" s="1857" t="s">
        <v>860</v>
      </c>
      <c r="D228" s="1858" t="s">
        <v>764</v>
      </c>
      <c r="E228" s="1845">
        <v>8000</v>
      </c>
      <c r="F228" s="1845">
        <v>20000</v>
      </c>
      <c r="G228" s="1662">
        <v>0</v>
      </c>
      <c r="H228" s="1663">
        <v>0</v>
      </c>
      <c r="I228" s="1664"/>
    </row>
    <row r="229" spans="1:9" ht="17.100000000000001" customHeight="1">
      <c r="A229" s="1614"/>
      <c r="B229" s="1684"/>
      <c r="C229" s="1784" t="s">
        <v>861</v>
      </c>
      <c r="D229" s="1802" t="s">
        <v>765</v>
      </c>
      <c r="E229" s="1713">
        <v>29118</v>
      </c>
      <c r="F229" s="1713">
        <v>45978</v>
      </c>
      <c r="G229" s="1835">
        <v>19840</v>
      </c>
      <c r="H229" s="1621">
        <v>19839.349999999999</v>
      </c>
      <c r="I229" s="1664">
        <f t="shared" si="40"/>
        <v>0.99996723790322573</v>
      </c>
    </row>
    <row r="230" spans="1:9" ht="26.25" customHeight="1">
      <c r="A230" s="1614"/>
      <c r="B230" s="1684"/>
      <c r="C230" s="1784" t="s">
        <v>862</v>
      </c>
      <c r="D230" s="1785" t="s">
        <v>766</v>
      </c>
      <c r="E230" s="1713">
        <v>4104</v>
      </c>
      <c r="F230" s="1713">
        <v>6553</v>
      </c>
      <c r="G230" s="1835">
        <f>2648</f>
        <v>2648</v>
      </c>
      <c r="H230" s="1621">
        <v>2647.94</v>
      </c>
      <c r="I230" s="1664">
        <f t="shared" si="40"/>
        <v>0.99997734138972816</v>
      </c>
    </row>
    <row r="231" spans="1:9" ht="17.100000000000001" hidden="1" customHeight="1">
      <c r="A231" s="1614"/>
      <c r="B231" s="1684"/>
      <c r="C231" s="1784" t="s">
        <v>863</v>
      </c>
      <c r="D231" s="1785" t="s">
        <v>771</v>
      </c>
      <c r="E231" s="1713">
        <v>30000</v>
      </c>
      <c r="F231" s="1713"/>
      <c r="G231" s="1835"/>
      <c r="H231" s="1621"/>
      <c r="I231" s="1664" t="e">
        <f t="shared" si="40"/>
        <v>#DIV/0!</v>
      </c>
    </row>
    <row r="232" spans="1:9" ht="17.100000000000001" customHeight="1">
      <c r="A232" s="1614"/>
      <c r="B232" s="1684"/>
      <c r="C232" s="1784" t="s">
        <v>864</v>
      </c>
      <c r="D232" s="1785" t="s">
        <v>776</v>
      </c>
      <c r="E232" s="1713">
        <v>294832</v>
      </c>
      <c r="F232" s="1713">
        <v>120000</v>
      </c>
      <c r="G232" s="1835">
        <v>0</v>
      </c>
      <c r="H232" s="1621">
        <v>0</v>
      </c>
      <c r="I232" s="1664"/>
    </row>
    <row r="233" spans="1:9" ht="17.100000000000001" hidden="1" customHeight="1">
      <c r="A233" s="1614"/>
      <c r="B233" s="1684"/>
      <c r="C233" s="1784" t="s">
        <v>865</v>
      </c>
      <c r="D233" s="1785" t="s">
        <v>778</v>
      </c>
      <c r="E233" s="1713">
        <v>200000</v>
      </c>
      <c r="F233" s="1713">
        <v>0</v>
      </c>
      <c r="G233" s="1835">
        <v>0</v>
      </c>
      <c r="H233" s="1621">
        <v>0</v>
      </c>
      <c r="I233" s="1664" t="e">
        <f t="shared" si="40"/>
        <v>#DIV/0!</v>
      </c>
    </row>
    <row r="234" spans="1:9" ht="17.100000000000001" hidden="1" customHeight="1">
      <c r="A234" s="1614"/>
      <c r="B234" s="1684"/>
      <c r="C234" s="1784" t="s">
        <v>866</v>
      </c>
      <c r="D234" s="1785" t="s">
        <v>781</v>
      </c>
      <c r="E234" s="1713"/>
      <c r="F234" s="1713">
        <v>0</v>
      </c>
      <c r="G234" s="1835">
        <v>0</v>
      </c>
      <c r="H234" s="1621">
        <v>0</v>
      </c>
      <c r="I234" s="1664" t="e">
        <f t="shared" si="40"/>
        <v>#DIV/0!</v>
      </c>
    </row>
    <row r="235" spans="1:9" ht="17.100000000000001" hidden="1" customHeight="1">
      <c r="A235" s="1614"/>
      <c r="B235" s="1684"/>
      <c r="C235" s="1784" t="s">
        <v>867</v>
      </c>
      <c r="D235" s="1785" t="s">
        <v>790</v>
      </c>
      <c r="E235" s="1848"/>
      <c r="F235" s="1848">
        <v>0</v>
      </c>
      <c r="G235" s="1788">
        <v>0</v>
      </c>
      <c r="H235" s="1806">
        <v>0</v>
      </c>
      <c r="I235" s="1664" t="e">
        <f t="shared" si="40"/>
        <v>#DIV/0!</v>
      </c>
    </row>
    <row r="236" spans="1:9" ht="17.100000000000001" customHeight="1">
      <c r="A236" s="1614"/>
      <c r="B236" s="1684"/>
      <c r="C236" s="1784" t="s">
        <v>868</v>
      </c>
      <c r="D236" s="1785" t="s">
        <v>768</v>
      </c>
      <c r="E236" s="1713"/>
      <c r="F236" s="1713">
        <v>0</v>
      </c>
      <c r="G236" s="1835">
        <v>212</v>
      </c>
      <c r="H236" s="1621">
        <v>211.79</v>
      </c>
      <c r="I236" s="1664">
        <f t="shared" si="40"/>
        <v>0.99900943396226416</v>
      </c>
    </row>
    <row r="237" spans="1:9" ht="17.100000000000001" customHeight="1">
      <c r="A237" s="1614"/>
      <c r="B237" s="1684"/>
      <c r="C237" s="5025"/>
      <c r="D237" s="5025"/>
      <c r="E237" s="1859"/>
      <c r="F237" s="1859"/>
      <c r="G237" s="1835"/>
      <c r="H237" s="1621"/>
      <c r="I237" s="1664"/>
    </row>
    <row r="238" spans="1:9" ht="17.100000000000001" customHeight="1">
      <c r="A238" s="1614"/>
      <c r="B238" s="1684"/>
      <c r="C238" s="4868" t="s">
        <v>793</v>
      </c>
      <c r="D238" s="4868"/>
      <c r="E238" s="1615">
        <f t="shared" ref="E238:H238" si="43">E239</f>
        <v>10083746</v>
      </c>
      <c r="F238" s="1615">
        <f t="shared" si="43"/>
        <v>6375309</v>
      </c>
      <c r="G238" s="1616">
        <f t="shared" si="43"/>
        <v>160784</v>
      </c>
      <c r="H238" s="1617">
        <f t="shared" si="43"/>
        <v>99184.760000000009</v>
      </c>
      <c r="I238" s="1664">
        <f t="shared" si="40"/>
        <v>0.61688202806249381</v>
      </c>
    </row>
    <row r="239" spans="1:9" ht="17.100000000000001" customHeight="1">
      <c r="A239" s="1614"/>
      <c r="B239" s="1684"/>
      <c r="C239" s="5026" t="s">
        <v>794</v>
      </c>
      <c r="D239" s="5018"/>
      <c r="E239" s="1707">
        <f>SUM(E240:E244)</f>
        <v>10083746</v>
      </c>
      <c r="F239" s="1707">
        <f>SUM(F240:F249)</f>
        <v>6375309</v>
      </c>
      <c r="G239" s="1860">
        <f>SUM(G240:G249)</f>
        <v>160784</v>
      </c>
      <c r="H239" s="1621">
        <f t="shared" ref="H239" si="44">SUM(H240:H249)</f>
        <v>99184.760000000009</v>
      </c>
      <c r="I239" s="1664">
        <f t="shared" si="40"/>
        <v>0.61688202806249381</v>
      </c>
    </row>
    <row r="240" spans="1:9" ht="16.5" hidden="1" customHeight="1">
      <c r="A240" s="1614"/>
      <c r="B240" s="1684"/>
      <c r="C240" s="1861" t="s">
        <v>869</v>
      </c>
      <c r="D240" s="1785" t="s">
        <v>842</v>
      </c>
      <c r="E240" s="1707"/>
      <c r="F240" s="1707">
        <v>0</v>
      </c>
      <c r="G240" s="1835">
        <v>0</v>
      </c>
      <c r="H240" s="1621">
        <v>0</v>
      </c>
      <c r="I240" s="1664" t="e">
        <f t="shared" si="40"/>
        <v>#DIV/0!</v>
      </c>
    </row>
    <row r="241" spans="1:9" ht="54" customHeight="1">
      <c r="A241" s="1614"/>
      <c r="B241" s="1684"/>
      <c r="C241" s="1861" t="s">
        <v>870</v>
      </c>
      <c r="D241" s="1785" t="s">
        <v>871</v>
      </c>
      <c r="E241" s="1707"/>
      <c r="F241" s="1707">
        <v>0</v>
      </c>
      <c r="G241" s="1835">
        <v>32045</v>
      </c>
      <c r="H241" s="1621">
        <v>32045</v>
      </c>
      <c r="I241" s="1664">
        <f t="shared" si="40"/>
        <v>1</v>
      </c>
    </row>
    <row r="242" spans="1:9" ht="69" customHeight="1">
      <c r="A242" s="1614"/>
      <c r="B242" s="1684"/>
      <c r="C242" s="1862" t="s">
        <v>872</v>
      </c>
      <c r="D242" s="1787" t="s">
        <v>871</v>
      </c>
      <c r="E242" s="1805">
        <v>9993032</v>
      </c>
      <c r="F242" s="1805">
        <v>6375309</v>
      </c>
      <c r="G242" s="1788">
        <v>5655</v>
      </c>
      <c r="H242" s="1806">
        <v>5655</v>
      </c>
      <c r="I242" s="1664">
        <f t="shared" si="40"/>
        <v>1</v>
      </c>
    </row>
    <row r="243" spans="1:9" ht="2.25" hidden="1" customHeight="1">
      <c r="A243" s="1614"/>
      <c r="B243" s="1627"/>
      <c r="C243" s="1659" t="s">
        <v>873</v>
      </c>
      <c r="D243" s="1827" t="s">
        <v>874</v>
      </c>
      <c r="E243" s="1661"/>
      <c r="F243" s="1661">
        <v>0</v>
      </c>
      <c r="G243" s="1662"/>
      <c r="H243" s="1663"/>
      <c r="I243" s="1769"/>
    </row>
    <row r="244" spans="1:9" ht="57" customHeight="1" thickBot="1">
      <c r="A244" s="1614"/>
      <c r="B244" s="1627"/>
      <c r="C244" s="1659" t="s">
        <v>875</v>
      </c>
      <c r="D244" s="1827" t="s">
        <v>800</v>
      </c>
      <c r="E244" s="1805">
        <v>90714</v>
      </c>
      <c r="F244" s="1805">
        <v>0</v>
      </c>
      <c r="G244" s="1788">
        <v>123084</v>
      </c>
      <c r="H244" s="1806">
        <v>61484.76</v>
      </c>
      <c r="I244" s="1769">
        <f t="shared" si="40"/>
        <v>0.49953495174027496</v>
      </c>
    </row>
    <row r="245" spans="1:9" ht="8.25" hidden="1" customHeight="1" thickBot="1">
      <c r="A245" s="1614"/>
      <c r="B245" s="1863"/>
      <c r="C245" s="1864"/>
      <c r="D245" s="1865" t="s">
        <v>876</v>
      </c>
      <c r="E245" s="1707"/>
      <c r="F245" s="1707">
        <v>0</v>
      </c>
      <c r="G245" s="1835"/>
      <c r="H245" s="1621"/>
      <c r="I245" s="1769" t="e">
        <f t="shared" si="40"/>
        <v>#DIV/0!</v>
      </c>
    </row>
    <row r="246" spans="1:9" ht="13.5" hidden="1" thickBot="1">
      <c r="A246" s="1614"/>
      <c r="B246" s="4687"/>
      <c r="C246" s="5028" t="s">
        <v>760</v>
      </c>
      <c r="D246" s="5028"/>
      <c r="E246" s="1707"/>
      <c r="F246" s="1707">
        <v>0</v>
      </c>
      <c r="G246" s="1835"/>
      <c r="H246" s="1621"/>
      <c r="I246" s="1769" t="e">
        <f t="shared" si="40"/>
        <v>#DIV/0!</v>
      </c>
    </row>
    <row r="247" spans="1:9" ht="13.5" hidden="1" thickBot="1">
      <c r="A247" s="1614"/>
      <c r="B247" s="4687"/>
      <c r="C247" s="5013" t="s">
        <v>838</v>
      </c>
      <c r="D247" s="5013"/>
      <c r="E247" s="1707"/>
      <c r="F247" s="1707">
        <v>0</v>
      </c>
      <c r="G247" s="1835"/>
      <c r="H247" s="1621"/>
      <c r="I247" s="1769" t="e">
        <f t="shared" si="40"/>
        <v>#DIV/0!</v>
      </c>
    </row>
    <row r="248" spans="1:9" ht="51.75" hidden="1" thickBot="1">
      <c r="A248" s="1614"/>
      <c r="B248" s="5027"/>
      <c r="C248" s="1784" t="s">
        <v>689</v>
      </c>
      <c r="D248" s="1785" t="s">
        <v>877</v>
      </c>
      <c r="E248" s="1707"/>
      <c r="F248" s="1707">
        <v>0</v>
      </c>
      <c r="G248" s="1835"/>
      <c r="H248" s="1621"/>
      <c r="I248" s="1769" t="e">
        <f t="shared" si="40"/>
        <v>#DIV/0!</v>
      </c>
    </row>
    <row r="249" spans="1:9" ht="13.5" hidden="1" thickBot="1">
      <c r="A249" s="1614"/>
      <c r="B249" s="1684"/>
      <c r="C249" s="1810" t="s">
        <v>878</v>
      </c>
      <c r="D249" s="1811" t="s">
        <v>858</v>
      </c>
      <c r="E249" s="1707"/>
      <c r="F249" s="1707">
        <v>0</v>
      </c>
      <c r="G249" s="1835"/>
      <c r="H249" s="1621"/>
      <c r="I249" s="1769" t="e">
        <f t="shared" si="40"/>
        <v>#DIV/0!</v>
      </c>
    </row>
    <row r="250" spans="1:9" ht="13.5" hidden="1" thickBot="1">
      <c r="A250" s="1614"/>
      <c r="B250" s="1684"/>
      <c r="C250" s="1866"/>
      <c r="D250" s="1811"/>
      <c r="E250" s="1707"/>
      <c r="F250" s="1707"/>
      <c r="G250" s="1835"/>
      <c r="H250" s="1621"/>
      <c r="I250" s="1769" t="e">
        <f t="shared" si="40"/>
        <v>#DIV/0!</v>
      </c>
    </row>
    <row r="251" spans="1:9" ht="15.75" hidden="1" thickBot="1">
      <c r="A251" s="1614"/>
      <c r="B251" s="1684"/>
      <c r="C251" s="5011" t="s">
        <v>801</v>
      </c>
      <c r="D251" s="5012"/>
      <c r="E251" s="1707">
        <f>SUM(E252:E254)</f>
        <v>0</v>
      </c>
      <c r="F251" s="1707">
        <f t="shared" ref="F251" si="45">SUM(F252:F254)</f>
        <v>0</v>
      </c>
      <c r="G251" s="1835"/>
      <c r="H251" s="1621"/>
      <c r="I251" s="1769" t="e">
        <f t="shared" si="40"/>
        <v>#DIV/0!</v>
      </c>
    </row>
    <row r="252" spans="1:9" ht="13.5" hidden="1" thickBot="1">
      <c r="A252" s="1614"/>
      <c r="B252" s="1684"/>
      <c r="C252" s="1861" t="s">
        <v>869</v>
      </c>
      <c r="D252" s="1785" t="s">
        <v>842</v>
      </c>
      <c r="E252" s="1838"/>
      <c r="F252" s="1838">
        <v>0</v>
      </c>
      <c r="G252" s="1835"/>
      <c r="H252" s="1621"/>
      <c r="I252" s="1769" t="e">
        <f t="shared" si="40"/>
        <v>#DIV/0!</v>
      </c>
    </row>
    <row r="253" spans="1:9" ht="64.5" hidden="1" thickBot="1">
      <c r="A253" s="1614"/>
      <c r="B253" s="1684"/>
      <c r="C253" s="1861" t="s">
        <v>870</v>
      </c>
      <c r="D253" s="1785" t="s">
        <v>871</v>
      </c>
      <c r="E253" s="1707"/>
      <c r="F253" s="1707">
        <v>0</v>
      </c>
      <c r="G253" s="1835"/>
      <c r="H253" s="1621"/>
      <c r="I253" s="1769" t="e">
        <f t="shared" si="40"/>
        <v>#DIV/0!</v>
      </c>
    </row>
    <row r="254" spans="1:9" ht="13.5" hidden="1" thickBot="1">
      <c r="A254" s="1614"/>
      <c r="B254" s="1684"/>
      <c r="C254" s="1810" t="s">
        <v>878</v>
      </c>
      <c r="D254" s="1811" t="s">
        <v>858</v>
      </c>
      <c r="E254" s="1668"/>
      <c r="F254" s="1668">
        <v>0</v>
      </c>
      <c r="G254" s="1835"/>
      <c r="H254" s="1621"/>
      <c r="I254" s="1725" t="e">
        <f t="shared" si="40"/>
        <v>#DIV/0!</v>
      </c>
    </row>
    <row r="255" spans="1:9" ht="17.100000000000001" hidden="1" customHeight="1" thickBot="1">
      <c r="A255" s="1819" t="s">
        <v>879</v>
      </c>
      <c r="B255" s="1820"/>
      <c r="C255" s="1821"/>
      <c r="D255" s="1822" t="s">
        <v>880</v>
      </c>
      <c r="E255" s="1823">
        <f>E256</f>
        <v>244032</v>
      </c>
      <c r="F255" s="1823">
        <f t="shared" ref="E255:H257" si="46">F256</f>
        <v>0</v>
      </c>
      <c r="G255" s="1824">
        <f t="shared" si="46"/>
        <v>0</v>
      </c>
      <c r="H255" s="1825">
        <f t="shared" si="46"/>
        <v>0</v>
      </c>
      <c r="I255" s="1826" t="e">
        <f t="shared" si="40"/>
        <v>#DIV/0!</v>
      </c>
    </row>
    <row r="256" spans="1:9" ht="17.100000000000001" hidden="1" customHeight="1" thickBot="1">
      <c r="A256" s="1614"/>
      <c r="B256" s="1726" t="s">
        <v>881</v>
      </c>
      <c r="C256" s="1727"/>
      <c r="D256" s="1728" t="s">
        <v>882</v>
      </c>
      <c r="E256" s="1729">
        <f t="shared" si="46"/>
        <v>244032</v>
      </c>
      <c r="F256" s="1729">
        <f t="shared" si="46"/>
        <v>0</v>
      </c>
      <c r="G256" s="1730">
        <f t="shared" si="46"/>
        <v>0</v>
      </c>
      <c r="H256" s="1731">
        <f t="shared" si="46"/>
        <v>0</v>
      </c>
      <c r="I256" s="1732" t="e">
        <f t="shared" si="40"/>
        <v>#DIV/0!</v>
      </c>
    </row>
    <row r="257" spans="1:9" ht="17.100000000000001" hidden="1" customHeight="1">
      <c r="A257" s="1614"/>
      <c r="B257" s="4687"/>
      <c r="C257" s="4871" t="s">
        <v>760</v>
      </c>
      <c r="D257" s="4871"/>
      <c r="E257" s="1615">
        <f t="shared" si="46"/>
        <v>244032</v>
      </c>
      <c r="F257" s="1615">
        <f t="shared" si="46"/>
        <v>0</v>
      </c>
      <c r="G257" s="1616">
        <f t="shared" si="46"/>
        <v>0</v>
      </c>
      <c r="H257" s="1617">
        <f t="shared" si="46"/>
        <v>0</v>
      </c>
      <c r="I257" s="1780" t="e">
        <f t="shared" si="40"/>
        <v>#DIV/0!</v>
      </c>
    </row>
    <row r="258" spans="1:9" ht="17.100000000000001" hidden="1" customHeight="1">
      <c r="A258" s="1614"/>
      <c r="B258" s="4687"/>
      <c r="C258" s="5021" t="s">
        <v>761</v>
      </c>
      <c r="D258" s="5022"/>
      <c r="E258" s="1707">
        <f>E259+E265</f>
        <v>244032</v>
      </c>
      <c r="F258" s="1707">
        <f t="shared" ref="F258:G258" si="47">F259+F265</f>
        <v>0</v>
      </c>
      <c r="G258" s="1860">
        <f t="shared" si="47"/>
        <v>0</v>
      </c>
      <c r="H258" s="1621">
        <f>H259+H265</f>
        <v>0</v>
      </c>
      <c r="I258" s="1769" t="e">
        <f t="shared" si="40"/>
        <v>#DIV/0!</v>
      </c>
    </row>
    <row r="259" spans="1:9" ht="17.100000000000001" hidden="1" customHeight="1">
      <c r="A259" s="1614"/>
      <c r="B259" s="4687"/>
      <c r="C259" s="5023" t="s">
        <v>762</v>
      </c>
      <c r="D259" s="5024"/>
      <c r="E259" s="1781">
        <f>SUM(E260:E263)</f>
        <v>240032</v>
      </c>
      <c r="F259" s="1781">
        <f t="shared" ref="F259:G259" si="48">SUM(F260:F263)</f>
        <v>0</v>
      </c>
      <c r="G259" s="1867">
        <f t="shared" si="48"/>
        <v>0</v>
      </c>
      <c r="H259" s="1782">
        <f>SUM(H260:H263)</f>
        <v>0</v>
      </c>
      <c r="I259" s="1783" t="e">
        <f t="shared" si="40"/>
        <v>#DIV/0!</v>
      </c>
    </row>
    <row r="260" spans="1:9" ht="17.100000000000001" hidden="1" customHeight="1">
      <c r="A260" s="1614"/>
      <c r="B260" s="4687"/>
      <c r="C260" s="1801" t="s">
        <v>61</v>
      </c>
      <c r="D260" s="1802" t="s">
        <v>763</v>
      </c>
      <c r="E260" s="1707">
        <v>184018</v>
      </c>
      <c r="F260" s="1707">
        <v>0</v>
      </c>
      <c r="G260" s="1835">
        <v>0</v>
      </c>
      <c r="H260" s="1621">
        <v>0</v>
      </c>
      <c r="I260" s="1769" t="e">
        <f t="shared" si="40"/>
        <v>#DIV/0!</v>
      </c>
    </row>
    <row r="261" spans="1:9" ht="17.100000000000001" hidden="1" customHeight="1">
      <c r="A261" s="1614"/>
      <c r="B261" s="4687"/>
      <c r="C261" s="1801" t="s">
        <v>315</v>
      </c>
      <c r="D261" s="1785" t="s">
        <v>764</v>
      </c>
      <c r="E261" s="1707">
        <v>15514</v>
      </c>
      <c r="F261" s="1707">
        <v>0</v>
      </c>
      <c r="G261" s="1835">
        <v>0</v>
      </c>
      <c r="H261" s="1621">
        <v>0</v>
      </c>
      <c r="I261" s="1769" t="e">
        <f t="shared" si="40"/>
        <v>#DIV/0!</v>
      </c>
    </row>
    <row r="262" spans="1:9" ht="17.100000000000001" hidden="1" customHeight="1">
      <c r="A262" s="1614"/>
      <c r="B262" s="4687"/>
      <c r="C262" s="1801" t="s">
        <v>62</v>
      </c>
      <c r="D262" s="1802" t="s">
        <v>765</v>
      </c>
      <c r="E262" s="1707">
        <v>36000</v>
      </c>
      <c r="F262" s="1707">
        <v>0</v>
      </c>
      <c r="G262" s="1835">
        <v>0</v>
      </c>
      <c r="H262" s="1621">
        <v>0</v>
      </c>
      <c r="I262" s="1769" t="e">
        <f>H262/G262</f>
        <v>#DIV/0!</v>
      </c>
    </row>
    <row r="263" spans="1:9" ht="26.25" hidden="1" customHeight="1">
      <c r="A263" s="1614"/>
      <c r="B263" s="4687"/>
      <c r="C263" s="1801" t="s">
        <v>63</v>
      </c>
      <c r="D263" s="1785" t="s">
        <v>766</v>
      </c>
      <c r="E263" s="1707">
        <v>4500</v>
      </c>
      <c r="F263" s="1707">
        <v>0</v>
      </c>
      <c r="G263" s="1835">
        <v>0</v>
      </c>
      <c r="H263" s="1621">
        <v>0</v>
      </c>
      <c r="I263" s="1769" t="e">
        <f t="shared" si="40"/>
        <v>#DIV/0!</v>
      </c>
    </row>
    <row r="264" spans="1:9" ht="14.25" hidden="1" customHeight="1">
      <c r="A264" s="1614"/>
      <c r="B264" s="1684"/>
      <c r="C264" s="1801"/>
      <c r="D264" s="1802"/>
      <c r="E264" s="1707"/>
      <c r="F264" s="1707"/>
      <c r="G264" s="1835"/>
      <c r="H264" s="1621"/>
      <c r="I264" s="1769"/>
    </row>
    <row r="265" spans="1:9" ht="14.25" hidden="1" customHeight="1">
      <c r="A265" s="1614"/>
      <c r="B265" s="1684"/>
      <c r="C265" s="5011" t="s">
        <v>769</v>
      </c>
      <c r="D265" s="5011"/>
      <c r="E265" s="1781">
        <f>SUM(E267:E267)</f>
        <v>4000</v>
      </c>
      <c r="F265" s="1781">
        <f>SUM(F266:F267)</f>
        <v>0</v>
      </c>
      <c r="G265" s="1781">
        <f t="shared" ref="G265:H265" si="49">SUM(G266:G267)</f>
        <v>0</v>
      </c>
      <c r="H265" s="1782">
        <f t="shared" si="49"/>
        <v>0</v>
      </c>
      <c r="I265" s="1783" t="e">
        <f t="shared" si="40"/>
        <v>#DIV/0!</v>
      </c>
    </row>
    <row r="266" spans="1:9" ht="14.25" hidden="1" customHeight="1">
      <c r="A266" s="1614"/>
      <c r="B266" s="1684"/>
      <c r="C266" s="1866" t="s">
        <v>22</v>
      </c>
      <c r="D266" s="1868" t="s">
        <v>771</v>
      </c>
      <c r="E266" s="1781"/>
      <c r="F266" s="1781">
        <v>0</v>
      </c>
      <c r="G266" s="1869">
        <v>0</v>
      </c>
      <c r="H266" s="1782">
        <v>0</v>
      </c>
      <c r="I266" s="1783" t="e">
        <f t="shared" si="40"/>
        <v>#DIV/0!</v>
      </c>
    </row>
    <row r="267" spans="1:9" ht="17.25" hidden="1" customHeight="1" thickBot="1">
      <c r="A267" s="1644"/>
      <c r="B267" s="1645"/>
      <c r="C267" s="1770" t="s">
        <v>23</v>
      </c>
      <c r="D267" s="1828" t="s">
        <v>776</v>
      </c>
      <c r="E267" s="1678">
        <v>4000</v>
      </c>
      <c r="F267" s="1678">
        <v>0</v>
      </c>
      <c r="G267" s="1792">
        <v>0</v>
      </c>
      <c r="H267" s="1747">
        <v>0</v>
      </c>
      <c r="I267" s="1651" t="e">
        <f t="shared" si="40"/>
        <v>#DIV/0!</v>
      </c>
    </row>
    <row r="268" spans="1:9" ht="17.100000000000001" customHeight="1" thickBot="1">
      <c r="A268" s="1819" t="s">
        <v>27</v>
      </c>
      <c r="B268" s="1820"/>
      <c r="C268" s="1821"/>
      <c r="D268" s="1822" t="s">
        <v>883</v>
      </c>
      <c r="E268" s="1823">
        <f>SUM(E269,E295,E321,E333,E340,E409,E440,E421,E429,E425)</f>
        <v>667541526</v>
      </c>
      <c r="F268" s="1823">
        <f>SUM(F269,F295,F321,F333,F340,F409,F417,F440,F421,F429,F425)</f>
        <v>557454346</v>
      </c>
      <c r="G268" s="1823">
        <f>SUM(G269,G295,G321,G333,G340,G409,G417,G440,G421,G429,G425)</f>
        <v>643864615</v>
      </c>
      <c r="H268" s="1825">
        <f>SUM(H269,H295,H321,H333,H340,H409,H417,H440,H421,H429,H425)</f>
        <v>501091840.48000002</v>
      </c>
      <c r="I268" s="1826">
        <f t="shared" si="40"/>
        <v>0.77825652909967724</v>
      </c>
    </row>
    <row r="269" spans="1:9" ht="17.100000000000001" customHeight="1" thickBot="1">
      <c r="A269" s="1614"/>
      <c r="B269" s="1726" t="s">
        <v>29</v>
      </c>
      <c r="C269" s="1727"/>
      <c r="D269" s="1728" t="s">
        <v>82</v>
      </c>
      <c r="E269" s="1729">
        <f>E270+E285</f>
        <v>84483387</v>
      </c>
      <c r="F269" s="1729">
        <f>F270+F285</f>
        <v>117480107</v>
      </c>
      <c r="G269" s="1730">
        <f t="shared" ref="G269:H269" si="50">G270+G285</f>
        <v>117659314</v>
      </c>
      <c r="H269" s="1731">
        <f t="shared" si="50"/>
        <v>107348416.66</v>
      </c>
      <c r="I269" s="1732">
        <f t="shared" si="40"/>
        <v>0.9123665013039256</v>
      </c>
    </row>
    <row r="270" spans="1:9" ht="17.100000000000001" customHeight="1">
      <c r="A270" s="1614"/>
      <c r="B270" s="1737"/>
      <c r="C270" s="4871" t="s">
        <v>760</v>
      </c>
      <c r="D270" s="4871"/>
      <c r="E270" s="1615">
        <f>E271+E280</f>
        <v>73235293</v>
      </c>
      <c r="F270" s="1615">
        <f>F271+F280</f>
        <v>110980107</v>
      </c>
      <c r="G270" s="1616">
        <f t="shared" ref="G270:H270" si="51">G271+G280</f>
        <v>111159314</v>
      </c>
      <c r="H270" s="1617">
        <f t="shared" si="51"/>
        <v>101357086.66</v>
      </c>
      <c r="I270" s="1780">
        <f t="shared" si="40"/>
        <v>0.91181820949344827</v>
      </c>
    </row>
    <row r="271" spans="1:9" ht="17.100000000000001" customHeight="1">
      <c r="A271" s="1614"/>
      <c r="B271" s="1737"/>
      <c r="C271" s="5013" t="s">
        <v>761</v>
      </c>
      <c r="D271" s="5013"/>
      <c r="E271" s="1707">
        <f>E272</f>
        <v>5996339</v>
      </c>
      <c r="F271" s="1707">
        <f t="shared" ref="F271:H271" si="52">F272</f>
        <v>25703288</v>
      </c>
      <c r="G271" s="1860">
        <f t="shared" si="52"/>
        <v>25703288</v>
      </c>
      <c r="H271" s="1621">
        <f t="shared" si="52"/>
        <v>15931286.390000001</v>
      </c>
      <c r="I271" s="1769">
        <f t="shared" si="40"/>
        <v>0.61981511431533587</v>
      </c>
    </row>
    <row r="272" spans="1:9" ht="17.100000000000001" customHeight="1">
      <c r="A272" s="1614"/>
      <c r="B272" s="1737"/>
      <c r="C272" s="5011" t="s">
        <v>769</v>
      </c>
      <c r="D272" s="5011"/>
      <c r="E272" s="1781">
        <f>SUM(E273:E278)</f>
        <v>5996339</v>
      </c>
      <c r="F272" s="1781">
        <f>SUM(F273:F278)</f>
        <v>25703288</v>
      </c>
      <c r="G272" s="1867">
        <f t="shared" ref="G272:H272" si="53">SUM(G273:G278)</f>
        <v>25703288</v>
      </c>
      <c r="H272" s="1782">
        <f t="shared" si="53"/>
        <v>15931286.390000001</v>
      </c>
      <c r="I272" s="1783">
        <f t="shared" si="40"/>
        <v>0.61981511431533587</v>
      </c>
    </row>
    <row r="273" spans="1:9" ht="17.100000000000001" customHeight="1">
      <c r="A273" s="1614"/>
      <c r="B273" s="1737"/>
      <c r="C273" s="1784" t="s">
        <v>87</v>
      </c>
      <c r="D273" s="1785" t="s">
        <v>774</v>
      </c>
      <c r="E273" s="1707">
        <v>5946339</v>
      </c>
      <c r="F273" s="1707">
        <v>25693288</v>
      </c>
      <c r="G273" s="1835">
        <v>25693288</v>
      </c>
      <c r="H273" s="1621">
        <v>15931286.390000001</v>
      </c>
      <c r="I273" s="1769">
        <f t="shared" si="40"/>
        <v>0.62005635051457797</v>
      </c>
    </row>
    <row r="274" spans="1:9" ht="17.100000000000001" hidden="1" customHeight="1">
      <c r="A274" s="1614"/>
      <c r="B274" s="1737"/>
      <c r="C274" s="1784" t="s">
        <v>327</v>
      </c>
      <c r="D274" s="1870" t="s">
        <v>778</v>
      </c>
      <c r="E274" s="1707"/>
      <c r="F274" s="1707">
        <v>0</v>
      </c>
      <c r="G274" s="1788">
        <v>0</v>
      </c>
      <c r="H274" s="1621">
        <v>0</v>
      </c>
      <c r="I274" s="1769" t="e">
        <f t="shared" si="40"/>
        <v>#DIV/0!</v>
      </c>
    </row>
    <row r="275" spans="1:9" ht="17.100000000000001" hidden="1" customHeight="1">
      <c r="A275" s="1614"/>
      <c r="B275" s="1737"/>
      <c r="C275" s="1784" t="s">
        <v>333</v>
      </c>
      <c r="D275" s="1870" t="s">
        <v>782</v>
      </c>
      <c r="E275" s="1707"/>
      <c r="F275" s="1707">
        <v>0</v>
      </c>
      <c r="G275" s="1788">
        <v>0</v>
      </c>
      <c r="H275" s="1621">
        <v>0</v>
      </c>
      <c r="I275" s="1769" t="e">
        <f t="shared" si="40"/>
        <v>#DIV/0!</v>
      </c>
    </row>
    <row r="276" spans="1:9" ht="12.75" hidden="1" customHeight="1">
      <c r="A276" s="1614"/>
      <c r="B276" s="1737"/>
      <c r="C276" s="1784" t="s">
        <v>884</v>
      </c>
      <c r="D276" s="1837" t="s">
        <v>885</v>
      </c>
      <c r="E276" s="1707">
        <v>50000</v>
      </c>
      <c r="F276" s="1707">
        <v>0</v>
      </c>
      <c r="G276" s="1788">
        <v>0</v>
      </c>
      <c r="H276" s="1621">
        <v>0</v>
      </c>
      <c r="I276" s="1769" t="e">
        <f t="shared" si="40"/>
        <v>#DIV/0!</v>
      </c>
    </row>
    <row r="277" spans="1:9" ht="30.75" hidden="1" customHeight="1">
      <c r="A277" s="1614"/>
      <c r="B277" s="1737"/>
      <c r="C277" s="1871" t="s">
        <v>886</v>
      </c>
      <c r="D277" s="1872" t="s">
        <v>887</v>
      </c>
      <c r="E277" s="1873"/>
      <c r="F277" s="1661">
        <v>0</v>
      </c>
      <c r="G277" s="1788">
        <v>0</v>
      </c>
      <c r="H277" s="1621">
        <v>0</v>
      </c>
      <c r="I277" s="1769" t="e">
        <f t="shared" si="40"/>
        <v>#DIV/0!</v>
      </c>
    </row>
    <row r="278" spans="1:9" ht="19.5" customHeight="1">
      <c r="A278" s="1614"/>
      <c r="B278" s="1737"/>
      <c r="C278" s="1874" t="s">
        <v>848</v>
      </c>
      <c r="D278" s="1875" t="s">
        <v>849</v>
      </c>
      <c r="E278" s="1661">
        <v>0</v>
      </c>
      <c r="F278" s="1661">
        <v>10000</v>
      </c>
      <c r="G278" s="1788">
        <v>10000</v>
      </c>
      <c r="H278" s="1621">
        <f>248.4-248.4</f>
        <v>0</v>
      </c>
      <c r="I278" s="1769">
        <f t="shared" si="40"/>
        <v>0</v>
      </c>
    </row>
    <row r="279" spans="1:9" ht="17.100000000000001" customHeight="1">
      <c r="A279" s="1614"/>
      <c r="B279" s="1737"/>
      <c r="C279" s="1876"/>
      <c r="D279" s="1877"/>
      <c r="E279" s="1878"/>
      <c r="F279" s="1878"/>
      <c r="G279" s="1788"/>
      <c r="H279" s="1621"/>
      <c r="I279" s="1769"/>
    </row>
    <row r="280" spans="1:9" ht="17.100000000000001" customHeight="1" thickBot="1">
      <c r="A280" s="1644"/>
      <c r="B280" s="1742"/>
      <c r="C280" s="5019" t="s">
        <v>838</v>
      </c>
      <c r="D280" s="5019"/>
      <c r="E280" s="1814">
        <f>E281+E282</f>
        <v>67238954</v>
      </c>
      <c r="F280" s="1814">
        <f>SUM(F281:F283)</f>
        <v>85276819</v>
      </c>
      <c r="G280" s="1814">
        <f t="shared" ref="G280:H280" si="54">SUM(G281:G283)</f>
        <v>85456026</v>
      </c>
      <c r="H280" s="1815">
        <f t="shared" si="54"/>
        <v>85425800.269999996</v>
      </c>
      <c r="I280" s="1651">
        <f t="shared" ref="I280:I349" si="55">H280/G280</f>
        <v>0.99964630077696326</v>
      </c>
    </row>
    <row r="281" spans="1:9" ht="40.5" customHeight="1">
      <c r="A281" s="1614"/>
      <c r="B281" s="1737"/>
      <c r="C281" s="1879" t="s">
        <v>86</v>
      </c>
      <c r="D281" s="1880" t="s">
        <v>888</v>
      </c>
      <c r="E281" s="1661">
        <v>50000</v>
      </c>
      <c r="F281" s="1661">
        <v>0</v>
      </c>
      <c r="G281" s="1881">
        <v>85000</v>
      </c>
      <c r="H281" s="1663">
        <v>81575.25</v>
      </c>
      <c r="I281" s="1769">
        <f t="shared" si="55"/>
        <v>0.95970882352941178</v>
      </c>
    </row>
    <row r="282" spans="1:9" ht="40.5" customHeight="1">
      <c r="A282" s="1627"/>
      <c r="B282" s="1737"/>
      <c r="C282" s="1772" t="s">
        <v>33</v>
      </c>
      <c r="D282" s="1787" t="s">
        <v>889</v>
      </c>
      <c r="E282" s="1805">
        <v>67188954</v>
      </c>
      <c r="F282" s="1805">
        <v>85276819</v>
      </c>
      <c r="G282" s="1788">
        <v>85370819</v>
      </c>
      <c r="H282" s="1806">
        <v>85344018.019999996</v>
      </c>
      <c r="I282" s="1769">
        <f t="shared" si="55"/>
        <v>0.99968606392308357</v>
      </c>
    </row>
    <row r="283" spans="1:9" ht="23.25" customHeight="1">
      <c r="A283" s="1614"/>
      <c r="B283" s="1737"/>
      <c r="C283" s="1882" t="s">
        <v>431</v>
      </c>
      <c r="D283" s="1883" t="s">
        <v>858</v>
      </c>
      <c r="E283" s="1805"/>
      <c r="F283" s="1805">
        <v>0</v>
      </c>
      <c r="G283" s="1881">
        <v>207</v>
      </c>
      <c r="H283" s="1663">
        <v>207</v>
      </c>
      <c r="I283" s="1769">
        <f t="shared" si="55"/>
        <v>1</v>
      </c>
    </row>
    <row r="284" spans="1:9" ht="17.100000000000001" customHeight="1">
      <c r="A284" s="1614"/>
      <c r="B284" s="1737"/>
      <c r="C284" s="1688"/>
      <c r="D284" s="1688"/>
      <c r="E284" s="1638"/>
      <c r="F284" s="1638"/>
      <c r="G284" s="1881"/>
      <c r="H284" s="1663"/>
      <c r="I284" s="1769"/>
    </row>
    <row r="285" spans="1:9" ht="19.5" customHeight="1">
      <c r="A285" s="1614"/>
      <c r="B285" s="1737"/>
      <c r="C285" s="5020" t="s">
        <v>793</v>
      </c>
      <c r="D285" s="5020"/>
      <c r="E285" s="1884">
        <f>E286</f>
        <v>11248094</v>
      </c>
      <c r="F285" s="1884">
        <f t="shared" ref="F285:H285" si="56">F286</f>
        <v>6500000</v>
      </c>
      <c r="G285" s="1885">
        <f t="shared" si="56"/>
        <v>6500000</v>
      </c>
      <c r="H285" s="1886">
        <f t="shared" si="56"/>
        <v>5991330</v>
      </c>
      <c r="I285" s="1780">
        <f t="shared" si="55"/>
        <v>0.92174307692307689</v>
      </c>
    </row>
    <row r="286" spans="1:9" ht="20.25" customHeight="1">
      <c r="A286" s="1614"/>
      <c r="B286" s="1737"/>
      <c r="C286" s="5018" t="s">
        <v>794</v>
      </c>
      <c r="D286" s="5018"/>
      <c r="E286" s="1805">
        <f>SUM(E287:E289)</f>
        <v>11248094</v>
      </c>
      <c r="F286" s="1805">
        <f>SUM(F287:F289)</f>
        <v>6500000</v>
      </c>
      <c r="G286" s="1805">
        <f t="shared" ref="G286:H286" si="57">SUM(G287:G289)</f>
        <v>6500000</v>
      </c>
      <c r="H286" s="1806">
        <f t="shared" si="57"/>
        <v>5991330</v>
      </c>
      <c r="I286" s="1769">
        <f t="shared" si="55"/>
        <v>0.92174307692307689</v>
      </c>
    </row>
    <row r="287" spans="1:9" ht="21.75" customHeight="1" thickBot="1">
      <c r="A287" s="1614"/>
      <c r="B287" s="1737"/>
      <c r="C287" s="1784" t="s">
        <v>24</v>
      </c>
      <c r="D287" s="1785" t="s">
        <v>842</v>
      </c>
      <c r="E287" s="1707">
        <v>11248094</v>
      </c>
      <c r="F287" s="1707">
        <v>6500000</v>
      </c>
      <c r="G287" s="1835">
        <v>6500000</v>
      </c>
      <c r="H287" s="1621">
        <v>5991330</v>
      </c>
      <c r="I287" s="1769">
        <f t="shared" si="55"/>
        <v>0.92174307692307689</v>
      </c>
    </row>
    <row r="288" spans="1:9" ht="21.75" hidden="1" customHeight="1">
      <c r="A288" s="1614"/>
      <c r="B288" s="1737"/>
      <c r="C288" s="1784" t="s">
        <v>869</v>
      </c>
      <c r="D288" s="1785" t="s">
        <v>842</v>
      </c>
      <c r="E288" s="1707">
        <v>0</v>
      </c>
      <c r="F288" s="1707">
        <v>0</v>
      </c>
      <c r="G288" s="1835">
        <v>0</v>
      </c>
      <c r="H288" s="1621">
        <v>0</v>
      </c>
      <c r="I288" s="1769" t="e">
        <f t="shared" si="55"/>
        <v>#DIV/0!</v>
      </c>
    </row>
    <row r="289" spans="1:10" ht="21.75" hidden="1" customHeight="1">
      <c r="A289" s="1614"/>
      <c r="B289" s="1737"/>
      <c r="C289" s="1784" t="s">
        <v>890</v>
      </c>
      <c r="D289" s="1785" t="s">
        <v>842</v>
      </c>
      <c r="E289" s="1707">
        <v>0</v>
      </c>
      <c r="F289" s="1707">
        <v>0</v>
      </c>
      <c r="G289" s="1835">
        <v>0</v>
      </c>
      <c r="H289" s="1621">
        <v>0</v>
      </c>
      <c r="I289" s="1769" t="e">
        <f t="shared" si="55"/>
        <v>#DIV/0!</v>
      </c>
    </row>
    <row r="290" spans="1:10" ht="17.100000000000001" hidden="1" customHeight="1" thickBot="1">
      <c r="A290" s="1644"/>
      <c r="B290" s="1742"/>
      <c r="C290" s="1887"/>
      <c r="D290" s="1888"/>
      <c r="E290" s="1889"/>
      <c r="F290" s="1889"/>
      <c r="G290" s="1792"/>
      <c r="H290" s="1747"/>
      <c r="I290" s="1651"/>
    </row>
    <row r="291" spans="1:10" ht="25.5" hidden="1" customHeight="1">
      <c r="A291" s="1851"/>
      <c r="B291" s="1733"/>
      <c r="C291" s="5015" t="s">
        <v>801</v>
      </c>
      <c r="D291" s="5016"/>
      <c r="E291" s="1655">
        <f>SUM(E292:E294)</f>
        <v>0</v>
      </c>
      <c r="F291" s="1655">
        <f t="shared" ref="F291:H291" si="58">SUM(F292:F294)</f>
        <v>0</v>
      </c>
      <c r="G291" s="1750">
        <f>SUM(G292:G294)</f>
        <v>0</v>
      </c>
      <c r="H291" s="1657">
        <f t="shared" si="58"/>
        <v>0</v>
      </c>
      <c r="I291" s="1658" t="e">
        <f t="shared" si="55"/>
        <v>#DIV/0!</v>
      </c>
    </row>
    <row r="292" spans="1:10" ht="17.100000000000001" hidden="1" customHeight="1">
      <c r="A292" s="1614"/>
      <c r="B292" s="1737"/>
      <c r="C292" s="1784" t="s">
        <v>24</v>
      </c>
      <c r="D292" s="1785" t="s">
        <v>842</v>
      </c>
      <c r="E292" s="1707">
        <v>0</v>
      </c>
      <c r="F292" s="1707">
        <v>0</v>
      </c>
      <c r="G292" s="1835">
        <v>0</v>
      </c>
      <c r="H292" s="1621">
        <v>0</v>
      </c>
      <c r="I292" s="1769" t="e">
        <f t="shared" si="55"/>
        <v>#DIV/0!</v>
      </c>
    </row>
    <row r="293" spans="1:10" ht="17.100000000000001" hidden="1" customHeight="1">
      <c r="A293" s="1614"/>
      <c r="B293" s="1890"/>
      <c r="C293" s="1784" t="s">
        <v>869</v>
      </c>
      <c r="D293" s="1785" t="s">
        <v>842</v>
      </c>
      <c r="E293" s="1707">
        <v>0</v>
      </c>
      <c r="F293" s="1707">
        <v>0</v>
      </c>
      <c r="G293" s="1835">
        <v>0</v>
      </c>
      <c r="H293" s="1621">
        <v>0</v>
      </c>
      <c r="I293" s="1769" t="e">
        <f t="shared" si="55"/>
        <v>#DIV/0!</v>
      </c>
    </row>
    <row r="294" spans="1:10" ht="17.100000000000001" hidden="1" customHeight="1" thickBot="1">
      <c r="A294" s="1614"/>
      <c r="B294" s="1890"/>
      <c r="C294" s="1891" t="s">
        <v>890</v>
      </c>
      <c r="D294" s="1837" t="s">
        <v>842</v>
      </c>
      <c r="E294" s="1838"/>
      <c r="F294" s="1838">
        <v>0</v>
      </c>
      <c r="G294" s="1835">
        <v>0</v>
      </c>
      <c r="H294" s="1621">
        <v>0</v>
      </c>
      <c r="I294" s="1725" t="e">
        <f t="shared" si="55"/>
        <v>#DIV/0!</v>
      </c>
      <c r="J294" s="1798">
        <f>SUM(F293:F294)</f>
        <v>0</v>
      </c>
    </row>
    <row r="295" spans="1:10" ht="16.5" customHeight="1" thickBot="1">
      <c r="A295" s="1614"/>
      <c r="B295" s="1726" t="s">
        <v>181</v>
      </c>
      <c r="C295" s="1726"/>
      <c r="D295" s="1892" t="s">
        <v>182</v>
      </c>
      <c r="E295" s="1729">
        <f>E296+E301</f>
        <v>7381324</v>
      </c>
      <c r="F295" s="1729">
        <f t="shared" ref="F295:H295" si="59">F296+F301</f>
        <v>40714165</v>
      </c>
      <c r="G295" s="1729">
        <f>G296+G301</f>
        <v>56030219</v>
      </c>
      <c r="H295" s="1731">
        <f t="shared" si="59"/>
        <v>4284170.6500000004</v>
      </c>
      <c r="I295" s="1893">
        <f t="shared" si="55"/>
        <v>7.6461786629818465E-2</v>
      </c>
    </row>
    <row r="296" spans="1:10">
      <c r="A296" s="1614"/>
      <c r="B296" s="1894"/>
      <c r="C296" s="4871" t="s">
        <v>760</v>
      </c>
      <c r="D296" s="4871"/>
      <c r="E296" s="1615">
        <f>E297</f>
        <v>0</v>
      </c>
      <c r="F296" s="1615">
        <f t="shared" ref="F296:H297" si="60">F297</f>
        <v>186550</v>
      </c>
      <c r="G296" s="1616">
        <f>G297</f>
        <v>2524400</v>
      </c>
      <c r="H296" s="1617">
        <f t="shared" si="60"/>
        <v>642850</v>
      </c>
      <c r="I296" s="1895">
        <f t="shared" si="55"/>
        <v>0.254654571383299</v>
      </c>
    </row>
    <row r="297" spans="1:10">
      <c r="A297" s="1614"/>
      <c r="B297" s="1894"/>
      <c r="C297" s="5013" t="s">
        <v>761</v>
      </c>
      <c r="D297" s="5013"/>
      <c r="E297" s="1707">
        <f>E298</f>
        <v>0</v>
      </c>
      <c r="F297" s="1707">
        <f t="shared" si="60"/>
        <v>186550</v>
      </c>
      <c r="G297" s="1860">
        <f t="shared" si="60"/>
        <v>2524400</v>
      </c>
      <c r="H297" s="1621">
        <f t="shared" si="60"/>
        <v>642850</v>
      </c>
      <c r="I297" s="1758">
        <f t="shared" si="55"/>
        <v>0.254654571383299</v>
      </c>
    </row>
    <row r="298" spans="1:10">
      <c r="A298" s="1614"/>
      <c r="B298" s="1894"/>
      <c r="C298" s="5011" t="s">
        <v>769</v>
      </c>
      <c r="D298" s="5017"/>
      <c r="E298" s="1781">
        <f>E300</f>
        <v>0</v>
      </c>
      <c r="F298" s="1781">
        <f>SUM(F299:F300)</f>
        <v>186550</v>
      </c>
      <c r="G298" s="1781">
        <f t="shared" ref="G298:H298" si="61">SUM(G299:G300)</f>
        <v>2524400</v>
      </c>
      <c r="H298" s="1782">
        <f t="shared" si="61"/>
        <v>642850</v>
      </c>
      <c r="I298" s="1758">
        <f t="shared" si="55"/>
        <v>0.254654571383299</v>
      </c>
    </row>
    <row r="299" spans="1:10">
      <c r="A299" s="1614"/>
      <c r="B299" s="1894"/>
      <c r="C299" s="1866" t="s">
        <v>23</v>
      </c>
      <c r="D299" s="1896" t="s">
        <v>776</v>
      </c>
      <c r="E299" s="1897"/>
      <c r="F299" s="1707">
        <v>150000</v>
      </c>
      <c r="G299" s="1860">
        <v>2487850</v>
      </c>
      <c r="H299" s="1621">
        <v>608850</v>
      </c>
      <c r="I299" s="1758">
        <f t="shared" si="55"/>
        <v>0.24472938481017747</v>
      </c>
    </row>
    <row r="300" spans="1:10">
      <c r="A300" s="1614"/>
      <c r="B300" s="1894"/>
      <c r="C300" s="1784" t="s">
        <v>327</v>
      </c>
      <c r="D300" s="1660" t="s">
        <v>778</v>
      </c>
      <c r="E300" s="1707"/>
      <c r="F300" s="1707">
        <v>36550</v>
      </c>
      <c r="G300" s="1860">
        <v>36550</v>
      </c>
      <c r="H300" s="1621">
        <v>34000</v>
      </c>
      <c r="I300" s="1758">
        <f t="shared" si="55"/>
        <v>0.93023255813953487</v>
      </c>
    </row>
    <row r="301" spans="1:10" ht="17.100000000000001" customHeight="1">
      <c r="A301" s="1614"/>
      <c r="B301" s="1898"/>
      <c r="C301" s="4868" t="s">
        <v>793</v>
      </c>
      <c r="D301" s="4868"/>
      <c r="E301" s="1615">
        <f>E302</f>
        <v>7381324</v>
      </c>
      <c r="F301" s="1615">
        <f t="shared" ref="F301:H301" si="62">F302</f>
        <v>40527615</v>
      </c>
      <c r="G301" s="1616">
        <f>G302</f>
        <v>53505819</v>
      </c>
      <c r="H301" s="1617">
        <f t="shared" si="62"/>
        <v>3641320.65</v>
      </c>
      <c r="I301" s="1780">
        <f t="shared" si="55"/>
        <v>6.8054666166309868E-2</v>
      </c>
    </row>
    <row r="302" spans="1:10" ht="17.100000000000001" customHeight="1">
      <c r="A302" s="1614"/>
      <c r="B302" s="1898"/>
      <c r="C302" s="5018" t="s">
        <v>794</v>
      </c>
      <c r="D302" s="5018"/>
      <c r="E302" s="1707">
        <f>SUM(E303:E310)</f>
        <v>7381324</v>
      </c>
      <c r="F302" s="1707">
        <f t="shared" ref="F302:H302" si="63">SUM(F303:F310)</f>
        <v>40527615</v>
      </c>
      <c r="G302" s="1860">
        <f>SUM(G303:G310)</f>
        <v>53505819</v>
      </c>
      <c r="H302" s="1621">
        <f t="shared" si="63"/>
        <v>3641320.65</v>
      </c>
      <c r="I302" s="1769">
        <f t="shared" si="55"/>
        <v>6.8054666166309868E-2</v>
      </c>
    </row>
    <row r="303" spans="1:10" ht="17.100000000000001" customHeight="1">
      <c r="A303" s="1614"/>
      <c r="B303" s="1898"/>
      <c r="C303" s="1810" t="s">
        <v>89</v>
      </c>
      <c r="D303" s="1811" t="s">
        <v>795</v>
      </c>
      <c r="E303" s="1707">
        <v>665131</v>
      </c>
      <c r="F303" s="1707">
        <v>80335</v>
      </c>
      <c r="G303" s="1835">
        <v>3647021</v>
      </c>
      <c r="H303" s="1621">
        <v>228374.45</v>
      </c>
      <c r="I303" s="1769">
        <f t="shared" si="55"/>
        <v>6.2619450230749982E-2</v>
      </c>
    </row>
    <row r="304" spans="1:10" ht="17.100000000000001" customHeight="1">
      <c r="A304" s="1614"/>
      <c r="B304" s="1898"/>
      <c r="C304" s="1810" t="s">
        <v>891</v>
      </c>
      <c r="D304" s="1811" t="s">
        <v>795</v>
      </c>
      <c r="E304" s="1707">
        <v>1445711</v>
      </c>
      <c r="F304" s="1707">
        <v>174640</v>
      </c>
      <c r="G304" s="1835">
        <v>1418265</v>
      </c>
      <c r="H304" s="1621">
        <v>433383.07</v>
      </c>
      <c r="I304" s="1769">
        <f t="shared" si="55"/>
        <v>0.30557270326772501</v>
      </c>
    </row>
    <row r="305" spans="1:9" ht="17.100000000000001" customHeight="1">
      <c r="A305" s="1614"/>
      <c r="B305" s="1898"/>
      <c r="C305" s="1810" t="s">
        <v>892</v>
      </c>
      <c r="D305" s="1811" t="s">
        <v>795</v>
      </c>
      <c r="E305" s="1707">
        <v>1445711</v>
      </c>
      <c r="F305" s="1707">
        <v>174640</v>
      </c>
      <c r="G305" s="1835">
        <v>1674864</v>
      </c>
      <c r="H305" s="1621">
        <v>433383.11</v>
      </c>
      <c r="I305" s="1769">
        <f t="shared" si="55"/>
        <v>0.25875719461401042</v>
      </c>
    </row>
    <row r="306" spans="1:9" ht="17.100000000000001" customHeight="1">
      <c r="A306" s="1614"/>
      <c r="B306" s="1898"/>
      <c r="C306" s="1784" t="s">
        <v>24</v>
      </c>
      <c r="D306" s="1785" t="s">
        <v>842</v>
      </c>
      <c r="E306" s="1707">
        <v>508496</v>
      </c>
      <c r="F306" s="1707">
        <v>7498000</v>
      </c>
      <c r="G306" s="1835">
        <v>460000</v>
      </c>
      <c r="H306" s="1621">
        <v>0</v>
      </c>
      <c r="I306" s="1769">
        <f t="shared" si="55"/>
        <v>0</v>
      </c>
    </row>
    <row r="307" spans="1:9" ht="17.100000000000001" customHeight="1">
      <c r="A307" s="1614"/>
      <c r="B307" s="1898"/>
      <c r="C307" s="1784" t="s">
        <v>869</v>
      </c>
      <c r="D307" s="1785" t="s">
        <v>842</v>
      </c>
      <c r="E307" s="1707">
        <v>1105425</v>
      </c>
      <c r="F307" s="1707">
        <v>16300000</v>
      </c>
      <c r="G307" s="1835">
        <v>1000000</v>
      </c>
      <c r="H307" s="1621">
        <v>0</v>
      </c>
      <c r="I307" s="1769">
        <f t="shared" si="55"/>
        <v>0</v>
      </c>
    </row>
    <row r="308" spans="1:9" ht="17.100000000000001" customHeight="1">
      <c r="A308" s="1614"/>
      <c r="B308" s="1898"/>
      <c r="C308" s="1766" t="s">
        <v>890</v>
      </c>
      <c r="D308" s="1787" t="s">
        <v>842</v>
      </c>
      <c r="E308" s="1707">
        <v>1105425</v>
      </c>
      <c r="F308" s="1707">
        <v>16300000</v>
      </c>
      <c r="G308" s="1835">
        <v>0</v>
      </c>
      <c r="H308" s="1621">
        <v>0</v>
      </c>
      <c r="I308" s="1769"/>
    </row>
    <row r="309" spans="1:9" ht="57" customHeight="1" thickBot="1">
      <c r="A309" s="1644"/>
      <c r="B309" s="1899"/>
      <c r="C309" s="1900" t="s">
        <v>870</v>
      </c>
      <c r="D309" s="1901" t="s">
        <v>893</v>
      </c>
      <c r="E309" s="1814"/>
      <c r="F309" s="1814">
        <v>0</v>
      </c>
      <c r="G309" s="1902">
        <v>42190881</v>
      </c>
      <c r="H309" s="1815">
        <v>2543465.9700000002</v>
      </c>
      <c r="I309" s="1651">
        <f t="shared" si="55"/>
        <v>6.0284732380914259E-2</v>
      </c>
    </row>
    <row r="310" spans="1:9" ht="51">
      <c r="A310" s="1614"/>
      <c r="B310" s="1898"/>
      <c r="C310" s="1659" t="s">
        <v>894</v>
      </c>
      <c r="D310" s="1827" t="s">
        <v>874</v>
      </c>
      <c r="E310" s="1661">
        <v>1105425</v>
      </c>
      <c r="F310" s="1661">
        <v>0</v>
      </c>
      <c r="G310" s="1662">
        <v>3114788</v>
      </c>
      <c r="H310" s="1663">
        <v>2714.05</v>
      </c>
      <c r="I310" s="1769">
        <f t="shared" si="55"/>
        <v>8.7134341085171778E-4</v>
      </c>
    </row>
    <row r="311" spans="1:9" ht="17.100000000000001" customHeight="1">
      <c r="A311" s="1614"/>
      <c r="B311" s="1898"/>
      <c r="C311" s="1688"/>
      <c r="D311" s="1704"/>
      <c r="E311" s="1705"/>
      <c r="F311" s="1705"/>
      <c r="G311" s="1835"/>
      <c r="H311" s="1621"/>
      <c r="I311" s="1769"/>
    </row>
    <row r="312" spans="1:9" ht="29.25" customHeight="1">
      <c r="A312" s="1614"/>
      <c r="B312" s="1898"/>
      <c r="C312" s="5011" t="s">
        <v>801</v>
      </c>
      <c r="D312" s="5012"/>
      <c r="E312" s="1707">
        <f>SUM(E313:E320)</f>
        <v>7381324</v>
      </c>
      <c r="F312" s="1781">
        <f t="shared" ref="F312:H312" si="64">SUM(F313:F320)</f>
        <v>40527615</v>
      </c>
      <c r="G312" s="1867">
        <f>SUM(G313:G320)</f>
        <v>53505819</v>
      </c>
      <c r="H312" s="1782">
        <f t="shared" si="64"/>
        <v>3641320.65</v>
      </c>
      <c r="I312" s="1783">
        <f t="shared" si="55"/>
        <v>6.8054666166309868E-2</v>
      </c>
    </row>
    <row r="313" spans="1:9" ht="17.100000000000001" customHeight="1">
      <c r="A313" s="1614"/>
      <c r="B313" s="1898"/>
      <c r="C313" s="1810" t="s">
        <v>89</v>
      </c>
      <c r="D313" s="1811" t="s">
        <v>795</v>
      </c>
      <c r="E313" s="1707">
        <v>665131</v>
      </c>
      <c r="F313" s="1707">
        <v>80335</v>
      </c>
      <c r="G313" s="1835">
        <v>3647021</v>
      </c>
      <c r="H313" s="1621">
        <v>228374.45</v>
      </c>
      <c r="I313" s="1769">
        <f t="shared" si="55"/>
        <v>6.2619450230749982E-2</v>
      </c>
    </row>
    <row r="314" spans="1:9" ht="17.100000000000001" customHeight="1">
      <c r="A314" s="1614"/>
      <c r="B314" s="1898"/>
      <c r="C314" s="1810" t="s">
        <v>891</v>
      </c>
      <c r="D314" s="1811" t="s">
        <v>795</v>
      </c>
      <c r="E314" s="1707">
        <v>1445711</v>
      </c>
      <c r="F314" s="1707">
        <v>174640</v>
      </c>
      <c r="G314" s="1835">
        <v>1418265</v>
      </c>
      <c r="H314" s="1621">
        <v>433383.07</v>
      </c>
      <c r="I314" s="1769">
        <f t="shared" si="55"/>
        <v>0.30557270326772501</v>
      </c>
    </row>
    <row r="315" spans="1:9" ht="17.100000000000001" customHeight="1">
      <c r="A315" s="1614"/>
      <c r="B315" s="1898"/>
      <c r="C315" s="1810" t="s">
        <v>892</v>
      </c>
      <c r="D315" s="1811" t="s">
        <v>795</v>
      </c>
      <c r="E315" s="1707">
        <v>1445711</v>
      </c>
      <c r="F315" s="1707">
        <v>174640</v>
      </c>
      <c r="G315" s="1835">
        <v>1674864</v>
      </c>
      <c r="H315" s="1621">
        <v>433383.11</v>
      </c>
      <c r="I315" s="1769">
        <f t="shared" si="55"/>
        <v>0.25875719461401042</v>
      </c>
    </row>
    <row r="316" spans="1:9" ht="17.100000000000001" customHeight="1">
      <c r="A316" s="1627"/>
      <c r="B316" s="1898"/>
      <c r="C316" s="1772" t="s">
        <v>24</v>
      </c>
      <c r="D316" s="1787" t="s">
        <v>842</v>
      </c>
      <c r="E316" s="1805">
        <v>508496</v>
      </c>
      <c r="F316" s="1805">
        <v>7498000</v>
      </c>
      <c r="G316" s="1788">
        <v>460000</v>
      </c>
      <c r="H316" s="1806">
        <v>0</v>
      </c>
      <c r="I316" s="1769">
        <f t="shared" si="55"/>
        <v>0</v>
      </c>
    </row>
    <row r="317" spans="1:9" ht="16.5" customHeight="1">
      <c r="A317" s="1614"/>
      <c r="B317" s="1898"/>
      <c r="C317" s="1659" t="s">
        <v>869</v>
      </c>
      <c r="D317" s="1660" t="s">
        <v>842</v>
      </c>
      <c r="E317" s="1661">
        <v>1105425</v>
      </c>
      <c r="F317" s="1661">
        <v>16300000</v>
      </c>
      <c r="G317" s="1662">
        <v>1000000</v>
      </c>
      <c r="H317" s="1663">
        <v>0</v>
      </c>
      <c r="I317" s="1769">
        <f t="shared" si="55"/>
        <v>0</v>
      </c>
    </row>
    <row r="318" spans="1:9" ht="16.5" customHeight="1">
      <c r="A318" s="1614"/>
      <c r="B318" s="1898"/>
      <c r="C318" s="1766" t="s">
        <v>890</v>
      </c>
      <c r="D318" s="1787" t="s">
        <v>842</v>
      </c>
      <c r="E318" s="1707">
        <v>1105425</v>
      </c>
      <c r="F318" s="1707">
        <v>16300000</v>
      </c>
      <c r="G318" s="1835">
        <v>0</v>
      </c>
      <c r="H318" s="1621">
        <v>0</v>
      </c>
      <c r="I318" s="1769"/>
    </row>
    <row r="319" spans="1:9" ht="57.75" customHeight="1">
      <c r="A319" s="1614"/>
      <c r="B319" s="1898"/>
      <c r="C319" s="1695" t="s">
        <v>870</v>
      </c>
      <c r="D319" s="1696" t="s">
        <v>893</v>
      </c>
      <c r="E319" s="1661"/>
      <c r="F319" s="1661">
        <v>0</v>
      </c>
      <c r="G319" s="1662">
        <v>42190881</v>
      </c>
      <c r="H319" s="1663">
        <v>2543465.9700000002</v>
      </c>
      <c r="I319" s="1769">
        <f t="shared" si="55"/>
        <v>6.0284732380914259E-2</v>
      </c>
    </row>
    <row r="320" spans="1:9" ht="67.5" customHeight="1" thickBot="1">
      <c r="A320" s="1614"/>
      <c r="B320" s="1898"/>
      <c r="C320" s="1784" t="s">
        <v>894</v>
      </c>
      <c r="D320" s="1903" t="s">
        <v>874</v>
      </c>
      <c r="E320" s="1707">
        <v>1105425</v>
      </c>
      <c r="F320" s="1707">
        <v>0</v>
      </c>
      <c r="G320" s="1835">
        <v>3114788</v>
      </c>
      <c r="H320" s="1621">
        <v>2714.05</v>
      </c>
      <c r="I320" s="1725">
        <f t="shared" si="55"/>
        <v>8.7134341085171778E-4</v>
      </c>
    </row>
    <row r="321" spans="1:9" ht="18.75" customHeight="1" thickBot="1">
      <c r="A321" s="1614"/>
      <c r="B321" s="1726" t="s">
        <v>118</v>
      </c>
      <c r="C321" s="1727"/>
      <c r="D321" s="1728" t="s">
        <v>267</v>
      </c>
      <c r="E321" s="1904">
        <f>E322</f>
        <v>54930003</v>
      </c>
      <c r="F321" s="1729">
        <f t="shared" ref="F321:H321" si="65">F322</f>
        <v>52750000</v>
      </c>
      <c r="G321" s="1730">
        <f t="shared" si="65"/>
        <v>38755878</v>
      </c>
      <c r="H321" s="1731">
        <f t="shared" si="65"/>
        <v>34665979</v>
      </c>
      <c r="I321" s="1732">
        <f t="shared" si="55"/>
        <v>0.8944702272001166</v>
      </c>
    </row>
    <row r="322" spans="1:9" ht="18.75" customHeight="1">
      <c r="A322" s="1614"/>
      <c r="B322" s="1779"/>
      <c r="C322" s="4712" t="s">
        <v>760</v>
      </c>
      <c r="D322" s="4871"/>
      <c r="E322" s="1615">
        <f>E323+E327</f>
        <v>54930003</v>
      </c>
      <c r="F322" s="1615">
        <f>F323+F327</f>
        <v>52750000</v>
      </c>
      <c r="G322" s="1616">
        <f t="shared" ref="G322:H322" si="66">G323+G327</f>
        <v>38755878</v>
      </c>
      <c r="H322" s="1617">
        <f t="shared" si="66"/>
        <v>34665979</v>
      </c>
      <c r="I322" s="1780">
        <f t="shared" si="55"/>
        <v>0.8944702272001166</v>
      </c>
    </row>
    <row r="323" spans="1:9" ht="18.75" customHeight="1">
      <c r="A323" s="1614"/>
      <c r="B323" s="1779"/>
      <c r="C323" s="5013" t="s">
        <v>761</v>
      </c>
      <c r="D323" s="5013"/>
      <c r="E323" s="1615">
        <f>E324</f>
        <v>1925</v>
      </c>
      <c r="F323" s="1615">
        <f>F324</f>
        <v>0</v>
      </c>
      <c r="G323" s="1616">
        <f t="shared" ref="G323:H324" si="67">G324</f>
        <v>9652</v>
      </c>
      <c r="H323" s="1617">
        <f t="shared" si="67"/>
        <v>9651.6200000000008</v>
      </c>
      <c r="I323" s="1780">
        <f t="shared" si="55"/>
        <v>0.99996062992125989</v>
      </c>
    </row>
    <row r="324" spans="1:9" ht="18.75" customHeight="1">
      <c r="A324" s="1614"/>
      <c r="B324" s="1779"/>
      <c r="C324" s="5011" t="s">
        <v>769</v>
      </c>
      <c r="D324" s="5011"/>
      <c r="E324" s="1707">
        <f>E325</f>
        <v>1925</v>
      </c>
      <c r="F324" s="1781">
        <f>F325</f>
        <v>0</v>
      </c>
      <c r="G324" s="1867">
        <f t="shared" si="67"/>
        <v>9652</v>
      </c>
      <c r="H324" s="1782">
        <f t="shared" si="67"/>
        <v>9651.6200000000008</v>
      </c>
      <c r="I324" s="1783">
        <f t="shared" si="55"/>
        <v>0.99996062992125989</v>
      </c>
    </row>
    <row r="325" spans="1:9" ht="53.25" customHeight="1">
      <c r="A325" s="1614"/>
      <c r="B325" s="1779"/>
      <c r="C325" s="1874" t="s">
        <v>846</v>
      </c>
      <c r="D325" s="1905" t="s">
        <v>895</v>
      </c>
      <c r="E325" s="1661">
        <v>1925</v>
      </c>
      <c r="F325" s="1661">
        <v>0</v>
      </c>
      <c r="G325" s="1760">
        <v>9652</v>
      </c>
      <c r="H325" s="1663">
        <v>9651.6200000000008</v>
      </c>
      <c r="I325" s="1769">
        <f t="shared" si="55"/>
        <v>0.99996062992125989</v>
      </c>
    </row>
    <row r="326" spans="1:9">
      <c r="A326" s="1614"/>
      <c r="B326" s="1779"/>
      <c r="C326" s="1906"/>
      <c r="D326" s="1907"/>
      <c r="E326" s="1908"/>
      <c r="F326" s="1908"/>
      <c r="G326" s="1909"/>
      <c r="H326" s="1910"/>
      <c r="I326" s="1769"/>
    </row>
    <row r="327" spans="1:9" ht="16.5" customHeight="1" thickBot="1">
      <c r="A327" s="1644"/>
      <c r="B327" s="1791"/>
      <c r="C327" s="5014" t="s">
        <v>838</v>
      </c>
      <c r="D327" s="5014"/>
      <c r="E327" s="1911">
        <f>E328+E332</f>
        <v>54928078</v>
      </c>
      <c r="F327" s="1911">
        <f>SUM(F328:F332)</f>
        <v>52750000</v>
      </c>
      <c r="G327" s="1911">
        <f t="shared" ref="G327:H327" si="68">SUM(G328:G332)</f>
        <v>38746226</v>
      </c>
      <c r="H327" s="1912">
        <f t="shared" si="68"/>
        <v>34656327.380000003</v>
      </c>
      <c r="I327" s="1651">
        <f t="shared" si="55"/>
        <v>0.89444394868289889</v>
      </c>
    </row>
    <row r="328" spans="1:9" ht="41.25" customHeight="1">
      <c r="A328" s="1614"/>
      <c r="B328" s="1779"/>
      <c r="C328" s="1695" t="s">
        <v>19</v>
      </c>
      <c r="D328" s="1696" t="s">
        <v>839</v>
      </c>
      <c r="E328" s="1668">
        <v>54920000</v>
      </c>
      <c r="F328" s="1668">
        <v>1600000</v>
      </c>
      <c r="G328" s="1913">
        <v>342850</v>
      </c>
      <c r="H328" s="1818">
        <v>342849.07</v>
      </c>
      <c r="I328" s="1769">
        <f t="shared" si="55"/>
        <v>0.99999728744348848</v>
      </c>
    </row>
    <row r="329" spans="1:9" ht="40.5" customHeight="1">
      <c r="A329" s="1614"/>
      <c r="B329" s="1684"/>
      <c r="C329" s="1914" t="s">
        <v>21</v>
      </c>
      <c r="D329" s="1915" t="s">
        <v>840</v>
      </c>
      <c r="E329" s="1707"/>
      <c r="F329" s="1707">
        <v>4050000</v>
      </c>
      <c r="G329" s="1916">
        <v>2331466</v>
      </c>
      <c r="H329" s="1621">
        <v>2331465.7400000002</v>
      </c>
      <c r="I329" s="1769">
        <f t="shared" si="55"/>
        <v>0.99999988848218258</v>
      </c>
    </row>
    <row r="330" spans="1:9" ht="25.5">
      <c r="A330" s="1614"/>
      <c r="B330" s="1684"/>
      <c r="C330" s="1695" t="s">
        <v>323</v>
      </c>
      <c r="D330" s="1696" t="s">
        <v>896</v>
      </c>
      <c r="E330" s="1668">
        <v>54920000</v>
      </c>
      <c r="F330" s="1668">
        <v>44750000</v>
      </c>
      <c r="G330" s="1913">
        <v>34729119</v>
      </c>
      <c r="H330" s="1818">
        <v>30639222.670000002</v>
      </c>
      <c r="I330" s="1769">
        <f t="shared" si="55"/>
        <v>0.88223437715192266</v>
      </c>
    </row>
    <row r="331" spans="1:9" ht="27" customHeight="1">
      <c r="A331" s="1614"/>
      <c r="B331" s="1684"/>
      <c r="C331" s="1836" t="s">
        <v>100</v>
      </c>
      <c r="D331" s="1785" t="s">
        <v>897</v>
      </c>
      <c r="E331" s="1917">
        <v>54920000</v>
      </c>
      <c r="F331" s="1917">
        <v>2350000</v>
      </c>
      <c r="G331" s="1918">
        <v>1019225</v>
      </c>
      <c r="H331" s="1919">
        <v>1019224.06</v>
      </c>
      <c r="I331" s="1769">
        <f t="shared" si="55"/>
        <v>0.99999907773062868</v>
      </c>
    </row>
    <row r="332" spans="1:9" ht="55.5" customHeight="1" thickBot="1">
      <c r="A332" s="1627"/>
      <c r="B332" s="1849"/>
      <c r="C332" s="1900" t="s">
        <v>201</v>
      </c>
      <c r="D332" s="1920" t="s">
        <v>898</v>
      </c>
      <c r="E332" s="1678">
        <v>8078</v>
      </c>
      <c r="F332" s="1678">
        <v>0</v>
      </c>
      <c r="G332" s="1921">
        <v>323566</v>
      </c>
      <c r="H332" s="1747">
        <v>323565.84000000003</v>
      </c>
      <c r="I332" s="1651">
        <f t="shared" si="55"/>
        <v>0.99999950551046779</v>
      </c>
    </row>
    <row r="333" spans="1:9" ht="17.100000000000001" customHeight="1" thickBot="1">
      <c r="A333" s="1614"/>
      <c r="B333" s="1726" t="s">
        <v>185</v>
      </c>
      <c r="C333" s="1727"/>
      <c r="D333" s="1728" t="s">
        <v>186</v>
      </c>
      <c r="E333" s="1729">
        <f t="shared" ref="E333:H336" si="69">E334</f>
        <v>252000</v>
      </c>
      <c r="F333" s="1729">
        <f t="shared" si="69"/>
        <v>200000</v>
      </c>
      <c r="G333" s="1730">
        <f t="shared" si="69"/>
        <v>190000</v>
      </c>
      <c r="H333" s="1731">
        <f t="shared" si="69"/>
        <v>51073.64</v>
      </c>
      <c r="I333" s="1732">
        <f t="shared" si="55"/>
        <v>0.26880863157894735</v>
      </c>
    </row>
    <row r="334" spans="1:9" ht="17.100000000000001" customHeight="1">
      <c r="A334" s="1614"/>
      <c r="B334" s="1922"/>
      <c r="C334" s="4823" t="s">
        <v>760</v>
      </c>
      <c r="D334" s="4823"/>
      <c r="E334" s="1734">
        <f t="shared" si="69"/>
        <v>252000</v>
      </c>
      <c r="F334" s="1734">
        <f>F335+F338</f>
        <v>200000</v>
      </c>
      <c r="G334" s="1734">
        <f t="shared" ref="G334:H334" si="70">G335+G338</f>
        <v>190000</v>
      </c>
      <c r="H334" s="1736">
        <f t="shared" si="70"/>
        <v>51073.64</v>
      </c>
      <c r="I334" s="1658">
        <f t="shared" si="55"/>
        <v>0.26880863157894735</v>
      </c>
    </row>
    <row r="335" spans="1:9" ht="17.100000000000001" customHeight="1">
      <c r="A335" s="1614"/>
      <c r="B335" s="1779"/>
      <c r="C335" s="4988" t="s">
        <v>761</v>
      </c>
      <c r="D335" s="4988"/>
      <c r="E335" s="1923">
        <f t="shared" si="69"/>
        <v>252000</v>
      </c>
      <c r="F335" s="1923">
        <f t="shared" si="69"/>
        <v>200000</v>
      </c>
      <c r="G335" s="1924">
        <f t="shared" si="69"/>
        <v>150000</v>
      </c>
      <c r="H335" s="1925">
        <f t="shared" si="69"/>
        <v>11193</v>
      </c>
      <c r="I335" s="1769">
        <f t="shared" si="55"/>
        <v>7.4620000000000006E-2</v>
      </c>
    </row>
    <row r="336" spans="1:9" ht="17.100000000000001" customHeight="1">
      <c r="A336" s="1614"/>
      <c r="B336" s="1779"/>
      <c r="C336" s="4995" t="s">
        <v>769</v>
      </c>
      <c r="D336" s="4995"/>
      <c r="E336" s="1926">
        <f t="shared" si="69"/>
        <v>252000</v>
      </c>
      <c r="F336" s="1926">
        <f t="shared" si="69"/>
        <v>200000</v>
      </c>
      <c r="G336" s="1927">
        <f t="shared" si="69"/>
        <v>150000</v>
      </c>
      <c r="H336" s="1928">
        <f t="shared" si="69"/>
        <v>11193</v>
      </c>
      <c r="I336" s="1783">
        <f t="shared" si="55"/>
        <v>7.4620000000000006E-2</v>
      </c>
    </row>
    <row r="337" spans="1:9" ht="17.100000000000001" customHeight="1">
      <c r="A337" s="1627"/>
      <c r="B337" s="1779"/>
      <c r="C337" s="1929" t="s">
        <v>327</v>
      </c>
      <c r="D337" s="1930" t="s">
        <v>778</v>
      </c>
      <c r="E337" s="1923">
        <v>252000</v>
      </c>
      <c r="F337" s="1923">
        <v>200000</v>
      </c>
      <c r="G337" s="1931">
        <v>150000</v>
      </c>
      <c r="H337" s="1925">
        <v>11193</v>
      </c>
      <c r="I337" s="1769">
        <f t="shared" si="55"/>
        <v>7.4620000000000006E-2</v>
      </c>
    </row>
    <row r="338" spans="1:9" ht="17.100000000000001" customHeight="1">
      <c r="A338" s="1614"/>
      <c r="B338" s="1779"/>
      <c r="C338" s="4978" t="s">
        <v>838</v>
      </c>
      <c r="D338" s="4978"/>
      <c r="E338" s="1661">
        <f>E339+E340</f>
        <v>509420821</v>
      </c>
      <c r="F338" s="1661">
        <f>F339</f>
        <v>0</v>
      </c>
      <c r="G338" s="1661">
        <f t="shared" ref="G338:H338" si="71">G339</f>
        <v>40000</v>
      </c>
      <c r="H338" s="1663">
        <f t="shared" si="71"/>
        <v>39880.639999999999</v>
      </c>
      <c r="I338" s="1769">
        <f t="shared" si="55"/>
        <v>0.99701600000000001</v>
      </c>
    </row>
    <row r="339" spans="1:9" ht="40.5" customHeight="1">
      <c r="A339" s="1614"/>
      <c r="B339" s="1793"/>
      <c r="C339" s="1932" t="s">
        <v>86</v>
      </c>
      <c r="D339" s="1933" t="s">
        <v>888</v>
      </c>
      <c r="E339" s="1805">
        <v>50000</v>
      </c>
      <c r="F339" s="1805">
        <v>0</v>
      </c>
      <c r="G339" s="1788">
        <v>40000</v>
      </c>
      <c r="H339" s="1806">
        <v>39880.639999999999</v>
      </c>
      <c r="I339" s="1769">
        <f t="shared" si="55"/>
        <v>0.99701600000000001</v>
      </c>
    </row>
    <row r="340" spans="1:9" ht="17.100000000000001" customHeight="1" thickBot="1">
      <c r="A340" s="1614"/>
      <c r="B340" s="1794" t="s">
        <v>84</v>
      </c>
      <c r="C340" s="1795"/>
      <c r="D340" s="1796" t="s">
        <v>85</v>
      </c>
      <c r="E340" s="1797">
        <f>E341+E383</f>
        <v>509370821</v>
      </c>
      <c r="F340" s="1797">
        <f>F341+F383</f>
        <v>344091079</v>
      </c>
      <c r="G340" s="1934">
        <f>G341+G383</f>
        <v>394491461</v>
      </c>
      <c r="H340" s="1935">
        <f>H341+H383</f>
        <v>329461462.47000003</v>
      </c>
      <c r="I340" s="1936">
        <f t="shared" si="55"/>
        <v>0.83515486402378691</v>
      </c>
    </row>
    <row r="341" spans="1:9" ht="17.100000000000001" customHeight="1">
      <c r="A341" s="1614"/>
      <c r="B341" s="1627"/>
      <c r="C341" s="4871" t="s">
        <v>760</v>
      </c>
      <c r="D341" s="4871"/>
      <c r="E341" s="1937">
        <f>E342+E377+E380</f>
        <v>71434223</v>
      </c>
      <c r="F341" s="1615">
        <f>F342+F377+F380</f>
        <v>65791766</v>
      </c>
      <c r="G341" s="1616">
        <f>G342+G377+G380</f>
        <v>75202025</v>
      </c>
      <c r="H341" s="1617">
        <f>H342+H377+H380</f>
        <v>71740048.769999996</v>
      </c>
      <c r="I341" s="1769">
        <f t="shared" si="55"/>
        <v>0.95396432170543277</v>
      </c>
    </row>
    <row r="342" spans="1:9" ht="17.100000000000001" customHeight="1">
      <c r="A342" s="1614"/>
      <c r="B342" s="1627"/>
      <c r="C342" s="4988" t="s">
        <v>761</v>
      </c>
      <c r="D342" s="4988"/>
      <c r="E342" s="1923">
        <f t="shared" ref="E342:H342" si="72">E343+E351</f>
        <v>71193735</v>
      </c>
      <c r="F342" s="1923">
        <f t="shared" si="72"/>
        <v>65497766</v>
      </c>
      <c r="G342" s="1924">
        <f>G343+G351</f>
        <v>74882025</v>
      </c>
      <c r="H342" s="1925">
        <f t="shared" si="72"/>
        <v>71482112.979999989</v>
      </c>
      <c r="I342" s="1769">
        <f t="shared" si="55"/>
        <v>0.95459641990183874</v>
      </c>
    </row>
    <row r="343" spans="1:9" ht="17.100000000000001" customHeight="1">
      <c r="A343" s="1614"/>
      <c r="B343" s="1627"/>
      <c r="C343" s="5005" t="s">
        <v>762</v>
      </c>
      <c r="D343" s="5005"/>
      <c r="E343" s="1926">
        <f t="shared" ref="E343" si="73">SUM(E344:E349)</f>
        <v>18108464</v>
      </c>
      <c r="F343" s="1926">
        <f>SUM(F344:F349)</f>
        <v>18111533</v>
      </c>
      <c r="G343" s="1927">
        <f t="shared" ref="G343:H343" si="74">SUM(G344:G349)</f>
        <v>19506016</v>
      </c>
      <c r="H343" s="1928">
        <f t="shared" si="74"/>
        <v>19301201.399999995</v>
      </c>
      <c r="I343" s="1783">
        <f t="shared" si="55"/>
        <v>0.98949992658675123</v>
      </c>
    </row>
    <row r="344" spans="1:9" ht="17.100000000000001" customHeight="1">
      <c r="A344" s="1614"/>
      <c r="B344" s="1627"/>
      <c r="C344" s="1938" t="s">
        <v>61</v>
      </c>
      <c r="D344" s="1939" t="s">
        <v>763</v>
      </c>
      <c r="E344" s="1923">
        <v>14272313</v>
      </c>
      <c r="F344" s="1923">
        <v>13982825</v>
      </c>
      <c r="G344" s="1931">
        <v>15255207</v>
      </c>
      <c r="H344" s="1925">
        <v>15254850.66</v>
      </c>
      <c r="I344" s="1769">
        <f t="shared" si="55"/>
        <v>0.99997664141823839</v>
      </c>
    </row>
    <row r="345" spans="1:9" ht="17.100000000000001" customHeight="1">
      <c r="A345" s="1614"/>
      <c r="B345" s="1627"/>
      <c r="C345" s="1938" t="s">
        <v>315</v>
      </c>
      <c r="D345" s="1939" t="s">
        <v>764</v>
      </c>
      <c r="E345" s="1923">
        <v>957804</v>
      </c>
      <c r="F345" s="1923">
        <v>1116107</v>
      </c>
      <c r="G345" s="1931">
        <v>1076328</v>
      </c>
      <c r="H345" s="1925">
        <v>1076327.45</v>
      </c>
      <c r="I345" s="1769">
        <f t="shared" si="55"/>
        <v>0.99999948900335212</v>
      </c>
    </row>
    <row r="346" spans="1:9" ht="17.100000000000001" customHeight="1">
      <c r="A346" s="1614"/>
      <c r="B346" s="1627"/>
      <c r="C346" s="1938" t="s">
        <v>62</v>
      </c>
      <c r="D346" s="1939" t="s">
        <v>765</v>
      </c>
      <c r="E346" s="1923">
        <v>2506978</v>
      </c>
      <c r="F346" s="1923">
        <v>2635713</v>
      </c>
      <c r="G346" s="1931">
        <v>2758483</v>
      </c>
      <c r="H346" s="1925">
        <v>2656327.02</v>
      </c>
      <c r="I346" s="1769">
        <f t="shared" si="55"/>
        <v>0.96296660882086282</v>
      </c>
    </row>
    <row r="347" spans="1:9" ht="27.75" customHeight="1" thickBot="1">
      <c r="A347" s="1644"/>
      <c r="B347" s="1645"/>
      <c r="C347" s="1940" t="s">
        <v>63</v>
      </c>
      <c r="D347" s="1941" t="s">
        <v>766</v>
      </c>
      <c r="E347" s="1678">
        <v>349380</v>
      </c>
      <c r="F347" s="1678">
        <v>367322</v>
      </c>
      <c r="G347" s="1921">
        <v>384432</v>
      </c>
      <c r="H347" s="1747">
        <v>286764.2</v>
      </c>
      <c r="I347" s="1651">
        <f t="shared" si="55"/>
        <v>0.74594258542473058</v>
      </c>
    </row>
    <row r="348" spans="1:9" ht="23.25" customHeight="1">
      <c r="A348" s="1614"/>
      <c r="B348" s="1627"/>
      <c r="C348" s="1659" t="s">
        <v>324</v>
      </c>
      <c r="D348" s="1660" t="s">
        <v>767</v>
      </c>
      <c r="E348" s="1661">
        <v>21989</v>
      </c>
      <c r="F348" s="1661">
        <v>9566</v>
      </c>
      <c r="G348" s="1662">
        <v>9566</v>
      </c>
      <c r="H348" s="1663">
        <v>8415.33</v>
      </c>
      <c r="I348" s="1769">
        <f t="shared" si="55"/>
        <v>0.87971252352080287</v>
      </c>
    </row>
    <row r="349" spans="1:9" ht="17.100000000000001" customHeight="1">
      <c r="A349" s="1614"/>
      <c r="B349" s="1627"/>
      <c r="C349" s="1938" t="s">
        <v>335</v>
      </c>
      <c r="D349" s="1939" t="s">
        <v>768</v>
      </c>
      <c r="E349" s="1923"/>
      <c r="F349" s="1923">
        <v>0</v>
      </c>
      <c r="G349" s="1931">
        <v>22000</v>
      </c>
      <c r="H349" s="1925">
        <v>18516.740000000002</v>
      </c>
      <c r="I349" s="1769">
        <f t="shared" si="55"/>
        <v>0.84167000000000003</v>
      </c>
    </row>
    <row r="350" spans="1:9" ht="17.100000000000001" customHeight="1">
      <c r="A350" s="1614"/>
      <c r="B350" s="1627"/>
      <c r="C350" s="1876"/>
      <c r="D350" s="1877"/>
      <c r="E350" s="1878"/>
      <c r="F350" s="1878"/>
      <c r="G350" s="1931"/>
      <c r="H350" s="1925"/>
      <c r="I350" s="1769"/>
    </row>
    <row r="351" spans="1:9" ht="17.100000000000001" customHeight="1">
      <c r="A351" s="1614"/>
      <c r="B351" s="1627"/>
      <c r="C351" s="4912" t="s">
        <v>769</v>
      </c>
      <c r="D351" s="4912"/>
      <c r="E351" s="1942">
        <f>SUM(E352:E375)</f>
        <v>53085271</v>
      </c>
      <c r="F351" s="1942">
        <f>SUM(F352:F375)</f>
        <v>47386233</v>
      </c>
      <c r="G351" s="1943">
        <f>SUM(G352:G375)</f>
        <v>55376009</v>
      </c>
      <c r="H351" s="1944">
        <f>SUM(H352:H375)</f>
        <v>52180911.579999991</v>
      </c>
      <c r="I351" s="1783">
        <f t="shared" ref="I351:I409" si="75">H351/G351</f>
        <v>0.94230177512431401</v>
      </c>
    </row>
    <row r="352" spans="1:9" ht="27" customHeight="1">
      <c r="A352" s="1614"/>
      <c r="B352" s="1627"/>
      <c r="C352" s="1938" t="s">
        <v>332</v>
      </c>
      <c r="D352" s="1939" t="s">
        <v>770</v>
      </c>
      <c r="E352" s="1923">
        <v>146343</v>
      </c>
      <c r="F352" s="1923">
        <v>180000</v>
      </c>
      <c r="G352" s="1931">
        <v>144000</v>
      </c>
      <c r="H352" s="1925">
        <v>117020</v>
      </c>
      <c r="I352" s="1769">
        <f t="shared" si="75"/>
        <v>0.81263888888888891</v>
      </c>
    </row>
    <row r="353" spans="1:9" ht="17.100000000000001" customHeight="1">
      <c r="A353" s="1614"/>
      <c r="B353" s="1627"/>
      <c r="C353" s="1938" t="s">
        <v>22</v>
      </c>
      <c r="D353" s="1939" t="s">
        <v>771</v>
      </c>
      <c r="E353" s="1923">
        <v>7577700</v>
      </c>
      <c r="F353" s="1923">
        <v>6745000</v>
      </c>
      <c r="G353" s="1931">
        <v>7605000</v>
      </c>
      <c r="H353" s="1925">
        <v>6836200.3099999996</v>
      </c>
      <c r="I353" s="1769">
        <f t="shared" si="75"/>
        <v>0.89890865351742266</v>
      </c>
    </row>
    <row r="354" spans="1:9" ht="17.100000000000001" customHeight="1">
      <c r="A354" s="1614"/>
      <c r="B354" s="1627"/>
      <c r="C354" s="1938" t="s">
        <v>326</v>
      </c>
      <c r="D354" s="1939" t="s">
        <v>772</v>
      </c>
      <c r="E354" s="1923">
        <v>25000</v>
      </c>
      <c r="F354" s="1923">
        <v>27000</v>
      </c>
      <c r="G354" s="1931">
        <v>27000</v>
      </c>
      <c r="H354" s="1925">
        <v>16868.48</v>
      </c>
      <c r="I354" s="1769">
        <f t="shared" si="75"/>
        <v>0.62475851851851849</v>
      </c>
    </row>
    <row r="355" spans="1:9" ht="17.100000000000001" customHeight="1">
      <c r="A355" s="1614"/>
      <c r="B355" s="1627"/>
      <c r="C355" s="1938" t="s">
        <v>316</v>
      </c>
      <c r="D355" s="1939" t="s">
        <v>773</v>
      </c>
      <c r="E355" s="1923">
        <v>651012</v>
      </c>
      <c r="F355" s="1923">
        <v>570000</v>
      </c>
      <c r="G355" s="1931">
        <v>645000</v>
      </c>
      <c r="H355" s="1925">
        <v>548878.72</v>
      </c>
      <c r="I355" s="1769">
        <f t="shared" si="75"/>
        <v>0.85097475968992242</v>
      </c>
    </row>
    <row r="356" spans="1:9" ht="17.100000000000001" customHeight="1">
      <c r="A356" s="1614"/>
      <c r="B356" s="1627"/>
      <c r="C356" s="1929" t="s">
        <v>87</v>
      </c>
      <c r="D356" s="1930" t="s">
        <v>774</v>
      </c>
      <c r="E356" s="1923">
        <v>26745150</v>
      </c>
      <c r="F356" s="1923">
        <v>18496000</v>
      </c>
      <c r="G356" s="1931">
        <v>23144603</v>
      </c>
      <c r="H356" s="1925">
        <v>22726686.32</v>
      </c>
      <c r="I356" s="1769">
        <f t="shared" si="75"/>
        <v>0.98194323402306793</v>
      </c>
    </row>
    <row r="357" spans="1:9" ht="17.100000000000001" customHeight="1">
      <c r="A357" s="1614"/>
      <c r="B357" s="1627"/>
      <c r="C357" s="1659" t="s">
        <v>317</v>
      </c>
      <c r="D357" s="1660" t="s">
        <v>775</v>
      </c>
      <c r="E357" s="1661">
        <v>44000</v>
      </c>
      <c r="F357" s="1661">
        <v>48000</v>
      </c>
      <c r="G357" s="1662">
        <v>54000</v>
      </c>
      <c r="H357" s="1663">
        <v>26091</v>
      </c>
      <c r="I357" s="1769">
        <f t="shared" si="75"/>
        <v>0.48316666666666669</v>
      </c>
    </row>
    <row r="358" spans="1:9" ht="17.100000000000001" customHeight="1">
      <c r="A358" s="1614"/>
      <c r="B358" s="1627"/>
      <c r="C358" s="1938" t="s">
        <v>23</v>
      </c>
      <c r="D358" s="1939" t="s">
        <v>776</v>
      </c>
      <c r="E358" s="1923">
        <f>15439900+10000</f>
        <v>15449900</v>
      </c>
      <c r="F358" s="1923">
        <v>17570000</v>
      </c>
      <c r="G358" s="1931">
        <v>20441800</v>
      </c>
      <c r="H358" s="1925">
        <v>19234376.640000001</v>
      </c>
      <c r="I358" s="1769">
        <f t="shared" si="75"/>
        <v>0.94093360858632802</v>
      </c>
    </row>
    <row r="359" spans="1:9" ht="16.5" customHeight="1">
      <c r="A359" s="1614"/>
      <c r="B359" s="1627"/>
      <c r="C359" s="1938" t="s">
        <v>318</v>
      </c>
      <c r="D359" s="1939" t="s">
        <v>777</v>
      </c>
      <c r="E359" s="1923">
        <v>94000</v>
      </c>
      <c r="F359" s="1923">
        <v>76000</v>
      </c>
      <c r="G359" s="1931">
        <v>66000</v>
      </c>
      <c r="H359" s="1925">
        <v>44359.83</v>
      </c>
      <c r="I359" s="1769">
        <f t="shared" si="75"/>
        <v>0.67211863636363633</v>
      </c>
    </row>
    <row r="360" spans="1:9" ht="17.100000000000001" customHeight="1">
      <c r="A360" s="1614"/>
      <c r="B360" s="1627"/>
      <c r="C360" s="1938" t="s">
        <v>327</v>
      </c>
      <c r="D360" s="1939" t="s">
        <v>778</v>
      </c>
      <c r="E360" s="1923">
        <v>767000</v>
      </c>
      <c r="F360" s="1923">
        <v>1575000</v>
      </c>
      <c r="G360" s="1931">
        <v>1212514</v>
      </c>
      <c r="H360" s="1925">
        <v>977074.12</v>
      </c>
      <c r="I360" s="1769">
        <f t="shared" si="75"/>
        <v>0.80582502140181478</v>
      </c>
    </row>
    <row r="361" spans="1:9" ht="26.25" customHeight="1">
      <c r="A361" s="1614"/>
      <c r="B361" s="1627"/>
      <c r="C361" s="1938" t="s">
        <v>779</v>
      </c>
      <c r="D361" s="1939" t="s">
        <v>780</v>
      </c>
      <c r="E361" s="1923"/>
      <c r="F361" s="1923">
        <v>0</v>
      </c>
      <c r="G361" s="1931">
        <v>16000</v>
      </c>
      <c r="H361" s="1925">
        <v>14944.5</v>
      </c>
      <c r="I361" s="1769">
        <f t="shared" si="75"/>
        <v>0.93403124999999998</v>
      </c>
    </row>
    <row r="362" spans="1:9" ht="17.100000000000001" customHeight="1">
      <c r="A362" s="1614"/>
      <c r="B362" s="1627"/>
      <c r="C362" s="1938" t="s">
        <v>328</v>
      </c>
      <c r="D362" s="1939" t="s">
        <v>781</v>
      </c>
      <c r="E362" s="1923">
        <v>17500</v>
      </c>
      <c r="F362" s="1923">
        <v>15000</v>
      </c>
      <c r="G362" s="1931">
        <v>15000</v>
      </c>
      <c r="H362" s="1925">
        <v>1012.6</v>
      </c>
      <c r="I362" s="1769">
        <f t="shared" si="75"/>
        <v>6.7506666666666673E-2</v>
      </c>
    </row>
    <row r="363" spans="1:9" ht="17.100000000000001" customHeight="1">
      <c r="A363" s="1614"/>
      <c r="B363" s="1627"/>
      <c r="C363" s="1938" t="s">
        <v>899</v>
      </c>
      <c r="D363" s="1939" t="s">
        <v>781</v>
      </c>
      <c r="E363" s="1923"/>
      <c r="F363" s="1923">
        <v>0</v>
      </c>
      <c r="G363" s="1931">
        <v>5000</v>
      </c>
      <c r="H363" s="1925">
        <v>418.68</v>
      </c>
      <c r="I363" s="1769">
        <f t="shared" si="75"/>
        <v>8.3736000000000005E-2</v>
      </c>
    </row>
    <row r="364" spans="1:9" ht="17.100000000000001" customHeight="1">
      <c r="A364" s="1614"/>
      <c r="B364" s="1627"/>
      <c r="C364" s="1929" t="s">
        <v>899</v>
      </c>
      <c r="D364" s="1930" t="s">
        <v>900</v>
      </c>
      <c r="E364" s="1923">
        <v>20000</v>
      </c>
      <c r="F364" s="1923">
        <v>15000</v>
      </c>
      <c r="G364" s="1931">
        <v>0</v>
      </c>
      <c r="H364" s="1925">
        <v>0</v>
      </c>
      <c r="I364" s="1769"/>
    </row>
    <row r="365" spans="1:9" ht="17.100000000000001" customHeight="1">
      <c r="A365" s="1614"/>
      <c r="B365" s="1627"/>
      <c r="C365" s="1659" t="s">
        <v>333</v>
      </c>
      <c r="D365" s="1660" t="s">
        <v>782</v>
      </c>
      <c r="E365" s="1661">
        <v>627000</v>
      </c>
      <c r="F365" s="1661">
        <v>1216000</v>
      </c>
      <c r="G365" s="1662">
        <v>800000</v>
      </c>
      <c r="H365" s="1663">
        <v>645935.56000000006</v>
      </c>
      <c r="I365" s="1769">
        <f t="shared" si="75"/>
        <v>0.80741945000000004</v>
      </c>
    </row>
    <row r="366" spans="1:9" ht="17.100000000000001" customHeight="1">
      <c r="A366" s="1614"/>
      <c r="B366" s="1627"/>
      <c r="C366" s="1938" t="s">
        <v>319</v>
      </c>
      <c r="D366" s="1939" t="s">
        <v>783</v>
      </c>
      <c r="E366" s="1923">
        <v>300209</v>
      </c>
      <c r="F366" s="1923">
        <v>392733</v>
      </c>
      <c r="G366" s="1931">
        <v>392733</v>
      </c>
      <c r="H366" s="1925">
        <v>372987.62</v>
      </c>
      <c r="I366" s="1769">
        <f t="shared" si="75"/>
        <v>0.94972314524116896</v>
      </c>
    </row>
    <row r="367" spans="1:9" ht="17.100000000000001" customHeight="1">
      <c r="A367" s="1614"/>
      <c r="B367" s="1627"/>
      <c r="C367" s="1938" t="s">
        <v>320</v>
      </c>
      <c r="D367" s="1939" t="s">
        <v>784</v>
      </c>
      <c r="E367" s="1923">
        <v>126000</v>
      </c>
      <c r="F367" s="1923">
        <v>131000</v>
      </c>
      <c r="G367" s="1931">
        <v>139000</v>
      </c>
      <c r="H367" s="1925">
        <v>136057</v>
      </c>
      <c r="I367" s="1769">
        <f t="shared" si="75"/>
        <v>0.9788273381294964</v>
      </c>
    </row>
    <row r="368" spans="1:9" ht="27" customHeight="1">
      <c r="A368" s="1614"/>
      <c r="B368" s="1627"/>
      <c r="C368" s="1938" t="s">
        <v>321</v>
      </c>
      <c r="D368" s="1939" t="s">
        <v>799</v>
      </c>
      <c r="E368" s="1923">
        <v>11000</v>
      </c>
      <c r="F368" s="1923">
        <v>9000</v>
      </c>
      <c r="G368" s="1931">
        <v>9000</v>
      </c>
      <c r="H368" s="1925">
        <v>4036</v>
      </c>
      <c r="I368" s="1769">
        <f t="shared" si="75"/>
        <v>0.44844444444444442</v>
      </c>
    </row>
    <row r="369" spans="1:9" ht="17.100000000000001" customHeight="1">
      <c r="A369" s="1614"/>
      <c r="B369" s="1627"/>
      <c r="C369" s="1938" t="s">
        <v>785</v>
      </c>
      <c r="D369" s="1939" t="s">
        <v>786</v>
      </c>
      <c r="E369" s="1923">
        <v>0</v>
      </c>
      <c r="F369" s="1923">
        <v>1000</v>
      </c>
      <c r="G369" s="1931">
        <v>1000</v>
      </c>
      <c r="H369" s="1925">
        <v>16.8</v>
      </c>
      <c r="I369" s="1769">
        <f t="shared" si="75"/>
        <v>1.6800000000000002E-2</v>
      </c>
    </row>
    <row r="370" spans="1:9" ht="17.100000000000001" customHeight="1">
      <c r="A370" s="1614"/>
      <c r="B370" s="1627"/>
      <c r="C370" s="1938" t="s">
        <v>334</v>
      </c>
      <c r="D370" s="1939" t="s">
        <v>787</v>
      </c>
      <c r="E370" s="1923">
        <v>188300</v>
      </c>
      <c r="F370" s="1923">
        <v>199500</v>
      </c>
      <c r="G370" s="1931">
        <v>190500</v>
      </c>
      <c r="H370" s="1925">
        <v>142292.32</v>
      </c>
      <c r="I370" s="1769">
        <f t="shared" si="75"/>
        <v>0.74694131233595806</v>
      </c>
    </row>
    <row r="371" spans="1:9">
      <c r="A371" s="1627"/>
      <c r="B371" s="1627"/>
      <c r="C371" s="1945" t="s">
        <v>884</v>
      </c>
      <c r="D371" s="1930" t="s">
        <v>885</v>
      </c>
      <c r="E371" s="1805">
        <v>27504</v>
      </c>
      <c r="F371" s="1805">
        <v>0</v>
      </c>
      <c r="G371" s="1788">
        <v>128386</v>
      </c>
      <c r="H371" s="1806">
        <v>128385.55</v>
      </c>
      <c r="I371" s="1769">
        <f t="shared" si="75"/>
        <v>0.9999964949449317</v>
      </c>
    </row>
    <row r="372" spans="1:9" ht="17.100000000000001" customHeight="1">
      <c r="A372" s="1614"/>
      <c r="B372" s="1627"/>
      <c r="C372" s="1659" t="s">
        <v>322</v>
      </c>
      <c r="D372" s="1660" t="s">
        <v>847</v>
      </c>
      <c r="E372" s="1661">
        <v>122740</v>
      </c>
      <c r="F372" s="1661">
        <v>10000</v>
      </c>
      <c r="G372" s="1662">
        <v>55000</v>
      </c>
      <c r="H372" s="1663">
        <v>51119</v>
      </c>
      <c r="I372" s="1769">
        <f t="shared" si="75"/>
        <v>0.92943636363636362</v>
      </c>
    </row>
    <row r="373" spans="1:9" ht="24.75" hidden="1" customHeight="1">
      <c r="A373" s="1614"/>
      <c r="B373" s="1627"/>
      <c r="C373" s="1938" t="s">
        <v>886</v>
      </c>
      <c r="D373" s="1939" t="s">
        <v>887</v>
      </c>
      <c r="E373" s="1923"/>
      <c r="F373" s="1923"/>
      <c r="G373" s="1931"/>
      <c r="H373" s="1925"/>
      <c r="I373" s="1769" t="e">
        <f t="shared" si="75"/>
        <v>#DIV/0!</v>
      </c>
    </row>
    <row r="374" spans="1:9" ht="17.100000000000001" customHeight="1" thickBot="1">
      <c r="A374" s="1644"/>
      <c r="B374" s="1645"/>
      <c r="C374" s="1940" t="s">
        <v>848</v>
      </c>
      <c r="D374" s="1941" t="s">
        <v>849</v>
      </c>
      <c r="E374" s="1678">
        <v>34913</v>
      </c>
      <c r="F374" s="1678">
        <v>10000</v>
      </c>
      <c r="G374" s="1921">
        <v>194473</v>
      </c>
      <c r="H374" s="1747">
        <v>78695.210000000006</v>
      </c>
      <c r="I374" s="1651">
        <f t="shared" si="75"/>
        <v>0.40465879582255637</v>
      </c>
    </row>
    <row r="375" spans="1:9" ht="27.75" customHeight="1">
      <c r="A375" s="1614"/>
      <c r="B375" s="1627"/>
      <c r="C375" s="1659" t="s">
        <v>64</v>
      </c>
      <c r="D375" s="1660" t="s">
        <v>790</v>
      </c>
      <c r="E375" s="1661">
        <v>110000</v>
      </c>
      <c r="F375" s="1661">
        <v>100000</v>
      </c>
      <c r="G375" s="1662">
        <v>90000</v>
      </c>
      <c r="H375" s="1663">
        <v>77455.320000000007</v>
      </c>
      <c r="I375" s="1769">
        <f t="shared" si="75"/>
        <v>0.86061466666666675</v>
      </c>
    </row>
    <row r="376" spans="1:9" ht="17.100000000000001" customHeight="1">
      <c r="A376" s="1614"/>
      <c r="B376" s="1627"/>
      <c r="C376" s="1688"/>
      <c r="D376" s="1688"/>
      <c r="E376" s="1638"/>
      <c r="F376" s="1638"/>
      <c r="G376" s="1931"/>
      <c r="H376" s="1925"/>
      <c r="I376" s="1769"/>
    </row>
    <row r="377" spans="1:9" ht="17.100000000000001" customHeight="1">
      <c r="A377" s="1614"/>
      <c r="B377" s="1627"/>
      <c r="C377" s="5002" t="s">
        <v>791</v>
      </c>
      <c r="D377" s="5002"/>
      <c r="E377" s="1923">
        <f t="shared" ref="E377:H377" si="76">E378</f>
        <v>240000</v>
      </c>
      <c r="F377" s="1923">
        <f t="shared" si="76"/>
        <v>294000</v>
      </c>
      <c r="G377" s="1924">
        <f t="shared" si="76"/>
        <v>320000</v>
      </c>
      <c r="H377" s="1925">
        <f t="shared" si="76"/>
        <v>257935.79</v>
      </c>
      <c r="I377" s="1769">
        <f t="shared" si="75"/>
        <v>0.80604934375000004</v>
      </c>
    </row>
    <row r="378" spans="1:9" ht="17.100000000000001" customHeight="1">
      <c r="A378" s="1614"/>
      <c r="B378" s="1627"/>
      <c r="C378" s="1946" t="s">
        <v>314</v>
      </c>
      <c r="D378" s="1947" t="s">
        <v>792</v>
      </c>
      <c r="E378" s="1948">
        <v>240000</v>
      </c>
      <c r="F378" s="1948">
        <v>294000</v>
      </c>
      <c r="G378" s="1931">
        <v>320000</v>
      </c>
      <c r="H378" s="1925">
        <v>257935.79</v>
      </c>
      <c r="I378" s="1769">
        <f t="shared" si="75"/>
        <v>0.80604934375000004</v>
      </c>
    </row>
    <row r="379" spans="1:9" ht="17.100000000000001" customHeight="1">
      <c r="A379" s="1614"/>
      <c r="B379" s="1627"/>
      <c r="C379" s="1949"/>
      <c r="D379" s="1950"/>
      <c r="E379" s="1951"/>
      <c r="F379" s="1951"/>
      <c r="G379" s="1931"/>
      <c r="H379" s="1925"/>
      <c r="I379" s="1769"/>
    </row>
    <row r="380" spans="1:9" ht="17.100000000000001" hidden="1" customHeight="1">
      <c r="A380" s="1614"/>
      <c r="B380" s="1627"/>
      <c r="C380" s="5009" t="s">
        <v>803</v>
      </c>
      <c r="D380" s="5010"/>
      <c r="E380" s="1952" t="str">
        <f>E381</f>
        <v>488</v>
      </c>
      <c r="F380" s="1952" t="str">
        <f>F381</f>
        <v>0</v>
      </c>
      <c r="G380" s="1931"/>
      <c r="H380" s="1925"/>
      <c r="I380" s="1769" t="e">
        <f t="shared" si="75"/>
        <v>#DIV/0!</v>
      </c>
    </row>
    <row r="381" spans="1:9" ht="41.25" hidden="1" customHeight="1">
      <c r="A381" s="1614"/>
      <c r="B381" s="1627"/>
      <c r="C381" s="1953" t="s">
        <v>832</v>
      </c>
      <c r="D381" s="1954" t="s">
        <v>833</v>
      </c>
      <c r="E381" s="1955" t="s">
        <v>901</v>
      </c>
      <c r="F381" s="1955" t="s">
        <v>902</v>
      </c>
      <c r="G381" s="1931"/>
      <c r="H381" s="1925"/>
      <c r="I381" s="1769" t="e">
        <f t="shared" si="75"/>
        <v>#DIV/0!</v>
      </c>
    </row>
    <row r="382" spans="1:9" ht="17.100000000000001" hidden="1" customHeight="1">
      <c r="A382" s="1614"/>
      <c r="B382" s="1627"/>
      <c r="C382" s="1949"/>
      <c r="D382" s="1956"/>
      <c r="E382" s="1878"/>
      <c r="F382" s="1878"/>
      <c r="G382" s="1931"/>
      <c r="H382" s="1925"/>
      <c r="I382" s="1769" t="e">
        <f t="shared" si="75"/>
        <v>#DIV/0!</v>
      </c>
    </row>
    <row r="383" spans="1:9" ht="17.100000000000001" customHeight="1">
      <c r="A383" s="1614"/>
      <c r="B383" s="1627"/>
      <c r="C383" s="4868" t="s">
        <v>793</v>
      </c>
      <c r="D383" s="4868"/>
      <c r="E383" s="1615">
        <f>E384</f>
        <v>437936598</v>
      </c>
      <c r="F383" s="1615">
        <f t="shared" ref="F383:H383" si="77">F384</f>
        <v>278299313</v>
      </c>
      <c r="G383" s="1616">
        <f>G384</f>
        <v>319289436</v>
      </c>
      <c r="H383" s="1617">
        <f t="shared" si="77"/>
        <v>257721413.70000005</v>
      </c>
      <c r="I383" s="1780">
        <f t="shared" si="75"/>
        <v>0.80717175277919329</v>
      </c>
    </row>
    <row r="384" spans="1:9" ht="17.100000000000001" customHeight="1">
      <c r="A384" s="1614"/>
      <c r="B384" s="1627"/>
      <c r="C384" s="5002" t="s">
        <v>903</v>
      </c>
      <c r="D384" s="5002"/>
      <c r="E384" s="1923">
        <f>SUM(E385:E395)</f>
        <v>437936598</v>
      </c>
      <c r="F384" s="1923">
        <f t="shared" ref="F384:H384" si="78">SUM(F385:F395)</f>
        <v>278299313</v>
      </c>
      <c r="G384" s="1924">
        <f>SUM(G385:G395)</f>
        <v>319289436</v>
      </c>
      <c r="H384" s="1925">
        <f t="shared" si="78"/>
        <v>257721413.70000005</v>
      </c>
      <c r="I384" s="1769">
        <f t="shared" si="75"/>
        <v>0.80717175277919329</v>
      </c>
    </row>
    <row r="385" spans="1:9" ht="17.100000000000001" customHeight="1">
      <c r="A385" s="1614"/>
      <c r="B385" s="1627"/>
      <c r="C385" s="1938" t="s">
        <v>89</v>
      </c>
      <c r="D385" s="1939" t="s">
        <v>795</v>
      </c>
      <c r="E385" s="1923">
        <v>62422962</v>
      </c>
      <c r="F385" s="1923">
        <v>44716895</v>
      </c>
      <c r="G385" s="1931">
        <v>82009991</v>
      </c>
      <c r="H385" s="1925">
        <v>62945253.07</v>
      </c>
      <c r="I385" s="1769">
        <f t="shared" si="75"/>
        <v>0.76753152027537719</v>
      </c>
    </row>
    <row r="386" spans="1:9" ht="17.100000000000001" customHeight="1">
      <c r="A386" s="1614"/>
      <c r="B386" s="1627"/>
      <c r="C386" s="1938" t="s">
        <v>891</v>
      </c>
      <c r="D386" s="1939" t="s">
        <v>795</v>
      </c>
      <c r="E386" s="1923">
        <v>275892832</v>
      </c>
      <c r="F386" s="1923">
        <v>170896515</v>
      </c>
      <c r="G386" s="1931">
        <v>141079398</v>
      </c>
      <c r="H386" s="1925">
        <v>125738721.92</v>
      </c>
      <c r="I386" s="1769">
        <f t="shared" si="75"/>
        <v>0.89126210986525478</v>
      </c>
    </row>
    <row r="387" spans="1:9" ht="17.100000000000001" customHeight="1">
      <c r="A387" s="1614"/>
      <c r="B387" s="1627"/>
      <c r="C387" s="1938" t="s">
        <v>904</v>
      </c>
      <c r="D387" s="1939" t="s">
        <v>795</v>
      </c>
      <c r="E387" s="1923">
        <v>12049668</v>
      </c>
      <c r="F387" s="1923">
        <v>17314935</v>
      </c>
      <c r="G387" s="1931">
        <v>26878970</v>
      </c>
      <c r="H387" s="1925">
        <v>23624675.989999998</v>
      </c>
      <c r="I387" s="1769">
        <f t="shared" si="75"/>
        <v>0.87892787521248017</v>
      </c>
    </row>
    <row r="388" spans="1:9" ht="17.100000000000001" customHeight="1">
      <c r="A388" s="1614"/>
      <c r="B388" s="1627"/>
      <c r="C388" s="1938" t="s">
        <v>892</v>
      </c>
      <c r="D388" s="1939" t="s">
        <v>795</v>
      </c>
      <c r="E388" s="1923">
        <v>51040367</v>
      </c>
      <c r="F388" s="1923">
        <v>32256560</v>
      </c>
      <c r="G388" s="1931">
        <v>29078634</v>
      </c>
      <c r="H388" s="1925">
        <v>25679027.77</v>
      </c>
      <c r="I388" s="1769">
        <f t="shared" si="75"/>
        <v>0.88308920460293971</v>
      </c>
    </row>
    <row r="389" spans="1:9" ht="17.100000000000001" customHeight="1">
      <c r="A389" s="1614"/>
      <c r="B389" s="1627"/>
      <c r="C389" s="1929" t="s">
        <v>24</v>
      </c>
      <c r="D389" s="1930" t="s">
        <v>842</v>
      </c>
      <c r="E389" s="1923">
        <v>14132604</v>
      </c>
      <c r="F389" s="1923">
        <v>5730000</v>
      </c>
      <c r="G389" s="1931">
        <v>13889977</v>
      </c>
      <c r="H389" s="1925">
        <v>7953601.2400000002</v>
      </c>
      <c r="I389" s="1769">
        <f t="shared" si="75"/>
        <v>0.57261442837522336</v>
      </c>
    </row>
    <row r="390" spans="1:9" ht="17.100000000000001" customHeight="1">
      <c r="A390" s="1614"/>
      <c r="B390" s="1627"/>
      <c r="C390" s="1659" t="s">
        <v>869</v>
      </c>
      <c r="D390" s="1660" t="s">
        <v>842</v>
      </c>
      <c r="E390" s="1661">
        <v>14702489</v>
      </c>
      <c r="F390" s="1661">
        <v>765000</v>
      </c>
      <c r="G390" s="1662">
        <v>6485532</v>
      </c>
      <c r="H390" s="1663">
        <v>3460841.79</v>
      </c>
      <c r="I390" s="1769">
        <f t="shared" si="75"/>
        <v>0.533624965538679</v>
      </c>
    </row>
    <row r="391" spans="1:9" ht="17.100000000000001" customHeight="1">
      <c r="A391" s="1614"/>
      <c r="B391" s="1627"/>
      <c r="C391" s="1938" t="s">
        <v>905</v>
      </c>
      <c r="D391" s="1939" t="s">
        <v>842</v>
      </c>
      <c r="E391" s="1923">
        <v>493471</v>
      </c>
      <c r="F391" s="1923">
        <v>0</v>
      </c>
      <c r="G391" s="1931">
        <v>31500</v>
      </c>
      <c r="H391" s="1925">
        <v>27441</v>
      </c>
      <c r="I391" s="1769">
        <f t="shared" si="75"/>
        <v>0.87114285714285711</v>
      </c>
    </row>
    <row r="392" spans="1:9" ht="17.100000000000001" customHeight="1">
      <c r="A392" s="1614"/>
      <c r="B392" s="1627"/>
      <c r="C392" s="1938" t="s">
        <v>890</v>
      </c>
      <c r="D392" s="1939" t="s">
        <v>842</v>
      </c>
      <c r="E392" s="1923">
        <v>2668818</v>
      </c>
      <c r="F392" s="1923">
        <v>135000</v>
      </c>
      <c r="G392" s="1931">
        <v>1207375</v>
      </c>
      <c r="H392" s="1925">
        <v>613785.74</v>
      </c>
      <c r="I392" s="1769">
        <f t="shared" si="75"/>
        <v>0.50836379749456462</v>
      </c>
    </row>
    <row r="393" spans="1:9" ht="55.5" customHeight="1">
      <c r="A393" s="1614"/>
      <c r="B393" s="1627"/>
      <c r="C393" s="1957" t="s">
        <v>450</v>
      </c>
      <c r="D393" s="1958" t="s">
        <v>877</v>
      </c>
      <c r="E393" s="1923">
        <v>4528959</v>
      </c>
      <c r="F393" s="1923">
        <v>6484408</v>
      </c>
      <c r="G393" s="1931">
        <v>18628059</v>
      </c>
      <c r="H393" s="1925">
        <v>7678065.1799999997</v>
      </c>
      <c r="I393" s="1769">
        <f t="shared" si="75"/>
        <v>0.41217741365324212</v>
      </c>
    </row>
    <row r="394" spans="1:9" ht="51.75" hidden="1" customHeight="1">
      <c r="A394" s="1614"/>
      <c r="B394" s="1627"/>
      <c r="C394" s="1959" t="s">
        <v>906</v>
      </c>
      <c r="D394" s="1905" t="s">
        <v>800</v>
      </c>
      <c r="E394" s="1923">
        <v>3771</v>
      </c>
      <c r="F394" s="1923">
        <v>0</v>
      </c>
      <c r="G394" s="1931"/>
      <c r="H394" s="1925"/>
      <c r="I394" s="1769" t="e">
        <f t="shared" si="75"/>
        <v>#DIV/0!</v>
      </c>
    </row>
    <row r="395" spans="1:9" ht="54.75" hidden="1" customHeight="1">
      <c r="A395" s="1614"/>
      <c r="B395" s="1627"/>
      <c r="C395" s="1957" t="s">
        <v>875</v>
      </c>
      <c r="D395" s="1905" t="s">
        <v>800</v>
      </c>
      <c r="E395" s="1923">
        <v>657</v>
      </c>
      <c r="F395" s="1923">
        <v>0</v>
      </c>
      <c r="G395" s="1931"/>
      <c r="H395" s="1925"/>
      <c r="I395" s="1769" t="e">
        <f t="shared" si="75"/>
        <v>#DIV/0!</v>
      </c>
    </row>
    <row r="396" spans="1:9" ht="13.5" customHeight="1">
      <c r="A396" s="1614"/>
      <c r="B396" s="1627"/>
      <c r="C396" s="1877"/>
      <c r="D396" s="1960"/>
      <c r="E396" s="1961"/>
      <c r="F396" s="1961"/>
      <c r="G396" s="1931"/>
      <c r="H396" s="1925"/>
      <c r="I396" s="1769"/>
    </row>
    <row r="397" spans="1:9" ht="27" customHeight="1">
      <c r="A397" s="1614"/>
      <c r="B397" s="1627"/>
      <c r="C397" s="4912" t="s">
        <v>801</v>
      </c>
      <c r="D397" s="4914"/>
      <c r="E397" s="1942">
        <f>SUM(E398:E408)</f>
        <v>390224328</v>
      </c>
      <c r="F397" s="1942">
        <f>SUM(F398:F408)</f>
        <v>229968253</v>
      </c>
      <c r="G397" s="1943">
        <f>SUM(G398:G408)</f>
        <v>253869406</v>
      </c>
      <c r="H397" s="1944">
        <f>SUM(H398:H408)</f>
        <v>202465798.97000003</v>
      </c>
      <c r="I397" s="1769">
        <f t="shared" si="75"/>
        <v>0.79751948909511383</v>
      </c>
    </row>
    <row r="398" spans="1:9" ht="17.100000000000001" customHeight="1">
      <c r="A398" s="1614"/>
      <c r="B398" s="1627"/>
      <c r="C398" s="1962" t="s">
        <v>89</v>
      </c>
      <c r="D398" s="1963" t="s">
        <v>795</v>
      </c>
      <c r="E398" s="1923">
        <v>19813692</v>
      </c>
      <c r="F398" s="1923">
        <v>2115835</v>
      </c>
      <c r="G398" s="1931">
        <f>1154699+1349489+2517521+186343+999268+648005+9018+547658+505000+404372+10574+5000000+6126693+5152664+916107+2550</f>
        <v>25529961</v>
      </c>
      <c r="H398" s="1925">
        <v>13878009.35</v>
      </c>
      <c r="I398" s="1769">
        <f t="shared" si="75"/>
        <v>0.54359696632517374</v>
      </c>
    </row>
    <row r="399" spans="1:9" ht="17.100000000000001" customHeight="1">
      <c r="A399" s="1614"/>
      <c r="B399" s="1627"/>
      <c r="C399" s="1962" t="s">
        <v>891</v>
      </c>
      <c r="D399" s="1963" t="s">
        <v>795</v>
      </c>
      <c r="E399" s="1923">
        <v>275892832</v>
      </c>
      <c r="F399" s="1923">
        <v>170896515</v>
      </c>
      <c r="G399" s="1931">
        <f>1299696+16825508+7696551+58077+19604399+42101+20449489+53560721+21162207+380649</f>
        <v>141079398</v>
      </c>
      <c r="H399" s="1925">
        <v>125738721.92</v>
      </c>
      <c r="I399" s="1769">
        <f t="shared" si="75"/>
        <v>0.89126210986525478</v>
      </c>
    </row>
    <row r="400" spans="1:9" ht="17.100000000000001" customHeight="1">
      <c r="A400" s="1614"/>
      <c r="B400" s="1627"/>
      <c r="C400" s="1962" t="s">
        <v>904</v>
      </c>
      <c r="D400" s="1963" t="s">
        <v>795</v>
      </c>
      <c r="E400" s="1923">
        <v>12049668</v>
      </c>
      <c r="F400" s="1923">
        <v>17314935</v>
      </c>
      <c r="G400" s="1931">
        <f>3576105+12952930+9062330+1240409+47196</f>
        <v>26878970</v>
      </c>
      <c r="H400" s="1925">
        <v>23624675.989999998</v>
      </c>
      <c r="I400" s="1769">
        <f t="shared" si="75"/>
        <v>0.87892787521248017</v>
      </c>
    </row>
    <row r="401" spans="1:9" ht="17.100000000000001" customHeight="1">
      <c r="A401" s="1614"/>
      <c r="B401" s="1627"/>
      <c r="C401" s="1938" t="s">
        <v>892</v>
      </c>
      <c r="D401" s="1939" t="s">
        <v>795</v>
      </c>
      <c r="E401" s="1923">
        <v>51040367</v>
      </c>
      <c r="F401" s="1923">
        <v>32256560</v>
      </c>
      <c r="G401" s="1931">
        <f>229359+2969207+1358215+154424+3459600+7431+3608733+9451891+3734508+67174+600000+2288476+1006548+137824+5244</f>
        <v>29078634</v>
      </c>
      <c r="H401" s="1925">
        <v>25679027.77</v>
      </c>
      <c r="I401" s="1769">
        <f t="shared" si="75"/>
        <v>0.88308920460293971</v>
      </c>
    </row>
    <row r="402" spans="1:9">
      <c r="A402" s="1614"/>
      <c r="B402" s="1627"/>
      <c r="C402" s="1938" t="s">
        <v>24</v>
      </c>
      <c r="D402" s="1939" t="s">
        <v>842</v>
      </c>
      <c r="E402" s="1923">
        <v>9029604</v>
      </c>
      <c r="F402" s="1923">
        <v>0</v>
      </c>
      <c r="G402" s="1931">
        <f>87020+776397+195798+663834+226928+3000000</f>
        <v>4949977</v>
      </c>
      <c r="H402" s="1925">
        <v>1765230.23</v>
      </c>
      <c r="I402" s="1769">
        <f t="shared" si="75"/>
        <v>0.35661382467029645</v>
      </c>
    </row>
    <row r="403" spans="1:9" ht="17.100000000000001" customHeight="1">
      <c r="A403" s="1614"/>
      <c r="B403" s="1627"/>
      <c r="C403" s="1938" t="s">
        <v>869</v>
      </c>
      <c r="D403" s="1939" t="s">
        <v>842</v>
      </c>
      <c r="E403" s="1923">
        <v>14702489</v>
      </c>
      <c r="F403" s="1923">
        <v>765000</v>
      </c>
      <c r="G403" s="1931">
        <f>334034+85000+2465000+23914+2417134+235388+68817+510000+311851+34394</f>
        <v>6485532</v>
      </c>
      <c r="H403" s="1663">
        <v>3460841.79</v>
      </c>
      <c r="I403" s="1769">
        <f t="shared" si="75"/>
        <v>0.533624965538679</v>
      </c>
    </row>
    <row r="404" spans="1:9" ht="17.100000000000001" customHeight="1">
      <c r="A404" s="1614"/>
      <c r="B404" s="1627"/>
      <c r="C404" s="1946" t="s">
        <v>905</v>
      </c>
      <c r="D404" s="1939" t="s">
        <v>842</v>
      </c>
      <c r="E404" s="1923">
        <v>493471</v>
      </c>
      <c r="F404" s="1923">
        <v>0</v>
      </c>
      <c r="G404" s="1931">
        <f>31500</f>
        <v>31500</v>
      </c>
      <c r="H404" s="1925">
        <v>27441</v>
      </c>
      <c r="I404" s="1769">
        <f t="shared" si="75"/>
        <v>0.87114285714285711</v>
      </c>
    </row>
    <row r="405" spans="1:9" ht="17.100000000000001" customHeight="1" thickBot="1">
      <c r="A405" s="1645"/>
      <c r="B405" s="1645"/>
      <c r="C405" s="1964" t="s">
        <v>890</v>
      </c>
      <c r="D405" s="1941" t="s">
        <v>842</v>
      </c>
      <c r="E405" s="1678">
        <v>2668818</v>
      </c>
      <c r="F405" s="1678">
        <v>135000</v>
      </c>
      <c r="G405" s="1921">
        <f>58948+15000+435000+63587+426553+41539+12145+90000+55033+6070+3500</f>
        <v>1207375</v>
      </c>
      <c r="H405" s="1747">
        <v>613785.74</v>
      </c>
      <c r="I405" s="1651">
        <f t="shared" si="75"/>
        <v>0.50836379749456462</v>
      </c>
    </row>
    <row r="406" spans="1:9" ht="55.5" customHeight="1" thickBot="1">
      <c r="A406" s="1627"/>
      <c r="B406" s="1645"/>
      <c r="C406" s="1965" t="s">
        <v>450</v>
      </c>
      <c r="D406" s="1966" t="s">
        <v>877</v>
      </c>
      <c r="E406" s="1814">
        <v>4528959</v>
      </c>
      <c r="F406" s="1814">
        <v>6484408</v>
      </c>
      <c r="G406" s="1967">
        <f>9499130+8549155+579774</f>
        <v>18628059</v>
      </c>
      <c r="H406" s="1663">
        <v>7678065.1799999997</v>
      </c>
      <c r="I406" s="1651">
        <f t="shared" si="75"/>
        <v>0.41217741365324212</v>
      </c>
    </row>
    <row r="407" spans="1:9" ht="51.75" hidden="1" customHeight="1">
      <c r="A407" s="1614"/>
      <c r="B407" s="1627"/>
      <c r="C407" s="1959" t="s">
        <v>906</v>
      </c>
      <c r="D407" s="1905" t="s">
        <v>800</v>
      </c>
      <c r="E407" s="1668">
        <v>3771</v>
      </c>
      <c r="F407" s="1668">
        <v>0</v>
      </c>
      <c r="G407" s="1662"/>
      <c r="H407" s="1663"/>
      <c r="I407" s="1769" t="e">
        <f t="shared" si="75"/>
        <v>#DIV/0!</v>
      </c>
    </row>
    <row r="408" spans="1:9" ht="49.5" hidden="1" customHeight="1" thickBot="1">
      <c r="A408" s="1614"/>
      <c r="B408" s="1627"/>
      <c r="C408" s="1957" t="s">
        <v>875</v>
      </c>
      <c r="D408" s="1905" t="s">
        <v>800</v>
      </c>
      <c r="E408" s="1678">
        <v>657</v>
      </c>
      <c r="F408" s="1678">
        <v>0</v>
      </c>
      <c r="G408" s="1931"/>
      <c r="H408" s="1925"/>
      <c r="I408" s="1725" t="e">
        <f t="shared" si="75"/>
        <v>#DIV/0!</v>
      </c>
    </row>
    <row r="409" spans="1:9" ht="17.25" customHeight="1" thickBot="1">
      <c r="A409" s="1614"/>
      <c r="B409" s="1726" t="s">
        <v>120</v>
      </c>
      <c r="C409" s="1727"/>
      <c r="D409" s="1728" t="s">
        <v>121</v>
      </c>
      <c r="E409" s="1729">
        <f>E410+E414</f>
        <v>1622773</v>
      </c>
      <c r="F409" s="1729">
        <f t="shared" ref="F409:H409" si="79">F410+F414</f>
        <v>1510773</v>
      </c>
      <c r="G409" s="1730">
        <f>G410+G414</f>
        <v>3702814</v>
      </c>
      <c r="H409" s="1731">
        <f t="shared" si="79"/>
        <v>1425027.78</v>
      </c>
      <c r="I409" s="1732">
        <f t="shared" si="75"/>
        <v>0.38484994925480998</v>
      </c>
    </row>
    <row r="410" spans="1:9">
      <c r="A410" s="1614"/>
      <c r="B410" s="1894"/>
      <c r="C410" s="4871" t="s">
        <v>760</v>
      </c>
      <c r="D410" s="4871"/>
      <c r="E410" s="1968">
        <f>E411</f>
        <v>0</v>
      </c>
      <c r="F410" s="1968">
        <f t="shared" ref="F410:H411" si="80">F411</f>
        <v>0</v>
      </c>
      <c r="G410" s="1969">
        <f t="shared" si="80"/>
        <v>200000</v>
      </c>
      <c r="H410" s="1970">
        <f t="shared" si="80"/>
        <v>200000</v>
      </c>
      <c r="I410" s="1769">
        <f>H410/G410</f>
        <v>1</v>
      </c>
    </row>
    <row r="411" spans="1:9">
      <c r="A411" s="1614"/>
      <c r="B411" s="1894"/>
      <c r="C411" s="5002" t="s">
        <v>838</v>
      </c>
      <c r="D411" s="5002"/>
      <c r="E411" s="1971">
        <f>E412</f>
        <v>0</v>
      </c>
      <c r="F411" s="1971">
        <f t="shared" si="80"/>
        <v>0</v>
      </c>
      <c r="G411" s="1972">
        <f t="shared" si="80"/>
        <v>200000</v>
      </c>
      <c r="H411" s="1973">
        <f t="shared" si="80"/>
        <v>200000</v>
      </c>
      <c r="I411" s="1769">
        <f>H411/G411</f>
        <v>1</v>
      </c>
    </row>
    <row r="412" spans="1:9" ht="41.25" customHeight="1">
      <c r="A412" s="1614"/>
      <c r="B412" s="1894"/>
      <c r="C412" s="1932" t="s">
        <v>86</v>
      </c>
      <c r="D412" s="1933" t="s">
        <v>888</v>
      </c>
      <c r="E412" s="1971"/>
      <c r="F412" s="1971">
        <v>0</v>
      </c>
      <c r="G412" s="1972">
        <v>200000</v>
      </c>
      <c r="H412" s="1973">
        <v>200000</v>
      </c>
      <c r="I412" s="1769">
        <f>H412/G412</f>
        <v>1</v>
      </c>
    </row>
    <row r="413" spans="1:9" ht="15.75" customHeight="1">
      <c r="A413" s="1614"/>
      <c r="B413" s="1894"/>
      <c r="C413" s="1974"/>
      <c r="D413" s="1880"/>
      <c r="E413" s="1975"/>
      <c r="F413" s="1975"/>
      <c r="G413" s="1976"/>
      <c r="H413" s="1977"/>
      <c r="I413" s="1769"/>
    </row>
    <row r="414" spans="1:9">
      <c r="A414" s="1614"/>
      <c r="B414" s="1627"/>
      <c r="C414" s="4868" t="s">
        <v>907</v>
      </c>
      <c r="D414" s="4868"/>
      <c r="E414" s="1615">
        <f t="shared" ref="E414:H415" si="81">E415</f>
        <v>1622773</v>
      </c>
      <c r="F414" s="1615">
        <f t="shared" si="81"/>
        <v>1510773</v>
      </c>
      <c r="G414" s="1616">
        <f t="shared" si="81"/>
        <v>3502814</v>
      </c>
      <c r="H414" s="1617">
        <f t="shared" si="81"/>
        <v>1225027.78</v>
      </c>
      <c r="I414" s="1769">
        <f t="shared" ref="I414:I488" si="82">H414/G414</f>
        <v>0.34972675683036553</v>
      </c>
    </row>
    <row r="415" spans="1:9" ht="16.5" customHeight="1">
      <c r="A415" s="1614"/>
      <c r="B415" s="1627"/>
      <c r="C415" s="5002" t="s">
        <v>908</v>
      </c>
      <c r="D415" s="5002"/>
      <c r="E415" s="1923">
        <f t="shared" si="81"/>
        <v>1622773</v>
      </c>
      <c r="F415" s="1923">
        <f t="shared" si="81"/>
        <v>1510773</v>
      </c>
      <c r="G415" s="1924">
        <f t="shared" si="81"/>
        <v>3502814</v>
      </c>
      <c r="H415" s="1925">
        <f t="shared" si="81"/>
        <v>1225027.78</v>
      </c>
      <c r="I415" s="1769">
        <f t="shared" si="82"/>
        <v>0.34972675683036553</v>
      </c>
    </row>
    <row r="416" spans="1:9" ht="42.75" customHeight="1" thickBot="1">
      <c r="A416" s="1614"/>
      <c r="B416" s="1627"/>
      <c r="C416" s="1946" t="s">
        <v>88</v>
      </c>
      <c r="D416" s="1947" t="s">
        <v>909</v>
      </c>
      <c r="E416" s="1948">
        <v>1622773</v>
      </c>
      <c r="F416" s="1948">
        <v>1510773</v>
      </c>
      <c r="G416" s="1931">
        <v>3502814</v>
      </c>
      <c r="H416" s="1925">
        <v>1225027.78</v>
      </c>
      <c r="I416" s="1725">
        <f t="shared" si="82"/>
        <v>0.34972675683036553</v>
      </c>
    </row>
    <row r="417" spans="1:9" ht="16.5" customHeight="1" thickBot="1">
      <c r="A417" s="1614"/>
      <c r="B417" s="1726" t="s">
        <v>122</v>
      </c>
      <c r="C417" s="1727"/>
      <c r="D417" s="1728" t="s">
        <v>123</v>
      </c>
      <c r="E417" s="1904">
        <f>E418</f>
        <v>1220000</v>
      </c>
      <c r="F417" s="1904">
        <f t="shared" ref="F417:H419" si="83">F418</f>
        <v>0</v>
      </c>
      <c r="G417" s="1904">
        <f t="shared" si="83"/>
        <v>231500</v>
      </c>
      <c r="H417" s="1978">
        <f t="shared" si="83"/>
        <v>231500</v>
      </c>
      <c r="I417" s="1732">
        <f t="shared" si="82"/>
        <v>1</v>
      </c>
    </row>
    <row r="418" spans="1:9" ht="15.75" customHeight="1">
      <c r="A418" s="1614"/>
      <c r="B418" s="1627"/>
      <c r="C418" s="5006" t="s">
        <v>793</v>
      </c>
      <c r="D418" s="5008"/>
      <c r="E418" s="1668">
        <f>E419</f>
        <v>1220000</v>
      </c>
      <c r="F418" s="1668">
        <f t="shared" si="83"/>
        <v>0</v>
      </c>
      <c r="G418" s="1668">
        <f t="shared" si="83"/>
        <v>231500</v>
      </c>
      <c r="H418" s="1818">
        <f t="shared" si="83"/>
        <v>231500</v>
      </c>
      <c r="I418" s="1769">
        <f t="shared" si="82"/>
        <v>1</v>
      </c>
    </row>
    <row r="419" spans="1:9" ht="16.5" customHeight="1">
      <c r="A419" s="1614"/>
      <c r="B419" s="1627"/>
      <c r="C419" s="4874" t="s">
        <v>908</v>
      </c>
      <c r="D419" s="4874"/>
      <c r="E419" s="1923">
        <f>E420</f>
        <v>1220000</v>
      </c>
      <c r="F419" s="1923">
        <f t="shared" si="83"/>
        <v>0</v>
      </c>
      <c r="G419" s="1923">
        <f t="shared" si="83"/>
        <v>231500</v>
      </c>
      <c r="H419" s="1925">
        <f t="shared" si="83"/>
        <v>231500</v>
      </c>
      <c r="I419" s="1769">
        <f t="shared" si="82"/>
        <v>1</v>
      </c>
    </row>
    <row r="420" spans="1:9" ht="42" customHeight="1" thickBot="1">
      <c r="A420" s="1638"/>
      <c r="B420" s="1645"/>
      <c r="C420" s="1940" t="s">
        <v>88</v>
      </c>
      <c r="D420" s="1941" t="s">
        <v>909</v>
      </c>
      <c r="E420" s="1678">
        <v>1220000</v>
      </c>
      <c r="F420" s="1678">
        <v>0</v>
      </c>
      <c r="G420" s="1921">
        <v>231500</v>
      </c>
      <c r="H420" s="1747">
        <v>231500</v>
      </c>
      <c r="I420" s="1651">
        <f t="shared" si="82"/>
        <v>1</v>
      </c>
    </row>
    <row r="421" spans="1:9" ht="15.75" customHeight="1" thickBot="1">
      <c r="A421" s="1638"/>
      <c r="B421" s="1726" t="s">
        <v>125</v>
      </c>
      <c r="C421" s="1727"/>
      <c r="D421" s="1728" t="s">
        <v>126</v>
      </c>
      <c r="E421" s="1904">
        <f>E422</f>
        <v>1220000</v>
      </c>
      <c r="F421" s="1904">
        <f t="shared" ref="F421:H423" si="84">F422</f>
        <v>0</v>
      </c>
      <c r="G421" s="1904">
        <f t="shared" si="84"/>
        <v>129740</v>
      </c>
      <c r="H421" s="1978">
        <f t="shared" si="84"/>
        <v>129739.35</v>
      </c>
      <c r="I421" s="1732">
        <f t="shared" si="82"/>
        <v>0.99999498997995995</v>
      </c>
    </row>
    <row r="422" spans="1:9" ht="15" customHeight="1">
      <c r="A422" s="1638"/>
      <c r="B422" s="1627"/>
      <c r="C422" s="5006" t="s">
        <v>793</v>
      </c>
      <c r="D422" s="5007"/>
      <c r="E422" s="1668">
        <f>E423</f>
        <v>1220000</v>
      </c>
      <c r="F422" s="1668">
        <f t="shared" si="84"/>
        <v>0</v>
      </c>
      <c r="G422" s="1668">
        <f t="shared" si="84"/>
        <v>129740</v>
      </c>
      <c r="H422" s="1818">
        <f t="shared" si="84"/>
        <v>129739.35</v>
      </c>
      <c r="I422" s="1769">
        <f t="shared" si="82"/>
        <v>0.99999498997995995</v>
      </c>
    </row>
    <row r="423" spans="1:9">
      <c r="A423" s="1614"/>
      <c r="B423" s="1627"/>
      <c r="C423" s="4874" t="s">
        <v>908</v>
      </c>
      <c r="D423" s="4874"/>
      <c r="E423" s="1923">
        <f>E424</f>
        <v>1220000</v>
      </c>
      <c r="F423" s="1923">
        <f t="shared" si="84"/>
        <v>0</v>
      </c>
      <c r="G423" s="1923">
        <f t="shared" si="84"/>
        <v>129740</v>
      </c>
      <c r="H423" s="1925">
        <f t="shared" si="84"/>
        <v>129739.35</v>
      </c>
      <c r="I423" s="1769">
        <f t="shared" si="82"/>
        <v>0.99999498997995995</v>
      </c>
    </row>
    <row r="424" spans="1:9" ht="39.75" customHeight="1" thickBot="1">
      <c r="A424" s="1614"/>
      <c r="B424" s="1627"/>
      <c r="C424" s="1946" t="s">
        <v>88</v>
      </c>
      <c r="D424" s="1947" t="s">
        <v>909</v>
      </c>
      <c r="E424" s="1678">
        <v>1220000</v>
      </c>
      <c r="F424" s="1678">
        <v>0</v>
      </c>
      <c r="G424" s="1931">
        <v>129740</v>
      </c>
      <c r="H424" s="1925">
        <v>129739.35</v>
      </c>
      <c r="I424" s="1725">
        <f t="shared" si="82"/>
        <v>0.99999498997995995</v>
      </c>
    </row>
    <row r="425" spans="1:9" ht="13.5" thickBot="1">
      <c r="A425" s="1614"/>
      <c r="B425" s="1726" t="s">
        <v>127</v>
      </c>
      <c r="C425" s="1727"/>
      <c r="D425" s="1728" t="s">
        <v>128</v>
      </c>
      <c r="E425" s="1904">
        <f>E426</f>
        <v>500000</v>
      </c>
      <c r="F425" s="1904">
        <f t="shared" ref="F425:H427" si="85">F426</f>
        <v>0</v>
      </c>
      <c r="G425" s="1904">
        <f t="shared" si="85"/>
        <v>250000</v>
      </c>
      <c r="H425" s="1978">
        <f t="shared" si="85"/>
        <v>250000</v>
      </c>
      <c r="I425" s="1732">
        <f t="shared" si="82"/>
        <v>1</v>
      </c>
    </row>
    <row r="426" spans="1:9">
      <c r="A426" s="1614"/>
      <c r="B426" s="1627"/>
      <c r="C426" s="5006" t="s">
        <v>793</v>
      </c>
      <c r="D426" s="5008"/>
      <c r="E426" s="1668">
        <f>E427</f>
        <v>500000</v>
      </c>
      <c r="F426" s="1668">
        <f t="shared" si="85"/>
        <v>0</v>
      </c>
      <c r="G426" s="1668">
        <f t="shared" si="85"/>
        <v>250000</v>
      </c>
      <c r="H426" s="1818">
        <f t="shared" si="85"/>
        <v>250000</v>
      </c>
      <c r="I426" s="1769">
        <f t="shared" si="82"/>
        <v>1</v>
      </c>
    </row>
    <row r="427" spans="1:9">
      <c r="A427" s="1614"/>
      <c r="B427" s="1627"/>
      <c r="C427" s="4874" t="s">
        <v>908</v>
      </c>
      <c r="D427" s="4874"/>
      <c r="E427" s="1923">
        <f>E428</f>
        <v>500000</v>
      </c>
      <c r="F427" s="1923">
        <f t="shared" si="85"/>
        <v>0</v>
      </c>
      <c r="G427" s="1923">
        <f t="shared" si="85"/>
        <v>250000</v>
      </c>
      <c r="H427" s="1925">
        <f t="shared" si="85"/>
        <v>250000</v>
      </c>
      <c r="I427" s="1769">
        <f t="shared" si="82"/>
        <v>1</v>
      </c>
    </row>
    <row r="428" spans="1:9" ht="41.25" customHeight="1" thickBot="1">
      <c r="A428" s="1644"/>
      <c r="B428" s="1645"/>
      <c r="C428" s="1940" t="s">
        <v>88</v>
      </c>
      <c r="D428" s="1941" t="s">
        <v>909</v>
      </c>
      <c r="E428" s="1678">
        <v>500000</v>
      </c>
      <c r="F428" s="1678">
        <v>0</v>
      </c>
      <c r="G428" s="1921">
        <v>250000</v>
      </c>
      <c r="H428" s="1747">
        <v>250000</v>
      </c>
      <c r="I428" s="1651">
        <f t="shared" si="82"/>
        <v>1</v>
      </c>
    </row>
    <row r="429" spans="1:9" ht="13.5" thickBot="1">
      <c r="A429" s="1979"/>
      <c r="B429" s="1794" t="s">
        <v>90</v>
      </c>
      <c r="C429" s="1980"/>
      <c r="D429" s="1981" t="s">
        <v>91</v>
      </c>
      <c r="E429" s="1982">
        <f t="shared" ref="E429:H434" si="86">E430</f>
        <v>1100000</v>
      </c>
      <c r="F429" s="1982">
        <f t="shared" si="86"/>
        <v>0</v>
      </c>
      <c r="G429" s="1982">
        <f>G430+G436</f>
        <v>21231845</v>
      </c>
      <c r="H429" s="1983">
        <f>H430+H436</f>
        <v>12078817.359999999</v>
      </c>
      <c r="I429" s="1984">
        <f t="shared" si="82"/>
        <v>0.56890097681101193</v>
      </c>
    </row>
    <row r="430" spans="1:9" ht="12.75" hidden="1" customHeight="1">
      <c r="A430" s="1638"/>
      <c r="B430" s="1894"/>
      <c r="C430" s="4871" t="s">
        <v>760</v>
      </c>
      <c r="D430" s="4871"/>
      <c r="E430" s="1985">
        <f>E434</f>
        <v>1100000</v>
      </c>
      <c r="F430" s="1985">
        <f>SUM(F431,F434)</f>
        <v>0</v>
      </c>
      <c r="G430" s="1985">
        <f t="shared" ref="G430:H430" si="87">SUM(G431,G434)</f>
        <v>0</v>
      </c>
      <c r="H430" s="1986">
        <f t="shared" si="87"/>
        <v>0</v>
      </c>
      <c r="I430" s="1769" t="e">
        <f t="shared" si="82"/>
        <v>#DIV/0!</v>
      </c>
    </row>
    <row r="431" spans="1:9" ht="12.75" hidden="1" customHeight="1">
      <c r="A431" s="1638"/>
      <c r="B431" s="1894"/>
      <c r="C431" s="4995" t="s">
        <v>769</v>
      </c>
      <c r="D431" s="4995"/>
      <c r="E431" s="1987"/>
      <c r="F431" s="1988">
        <f>SUM(F432)</f>
        <v>0</v>
      </c>
      <c r="G431" s="1989">
        <f t="shared" ref="G431:H431" si="88">SUM(G432)</f>
        <v>0</v>
      </c>
      <c r="H431" s="1990">
        <f t="shared" si="88"/>
        <v>0</v>
      </c>
      <c r="I431" s="1783" t="e">
        <f t="shared" si="82"/>
        <v>#DIV/0!</v>
      </c>
    </row>
    <row r="432" spans="1:9" ht="12.75" hidden="1" customHeight="1">
      <c r="A432" s="1638"/>
      <c r="B432" s="1894"/>
      <c r="C432" s="1991" t="s">
        <v>87</v>
      </c>
      <c r="D432" s="1992" t="s">
        <v>774</v>
      </c>
      <c r="E432" s="1985"/>
      <c r="F432" s="1993">
        <v>0</v>
      </c>
      <c r="G432" s="1971">
        <v>0</v>
      </c>
      <c r="H432" s="1973">
        <v>0</v>
      </c>
      <c r="I432" s="1769" t="e">
        <f t="shared" si="82"/>
        <v>#DIV/0!</v>
      </c>
    </row>
    <row r="433" spans="1:9" ht="12" hidden="1" customHeight="1">
      <c r="A433" s="1638"/>
      <c r="B433" s="1894"/>
      <c r="C433" s="1907"/>
      <c r="D433" s="1907"/>
      <c r="E433" s="1987"/>
      <c r="F433" s="1987"/>
      <c r="G433" s="1987"/>
      <c r="H433" s="1994"/>
      <c r="I433" s="1769"/>
    </row>
    <row r="434" spans="1:9" ht="12.75" hidden="1" customHeight="1">
      <c r="A434" s="1638"/>
      <c r="B434" s="1894"/>
      <c r="C434" s="5002" t="s">
        <v>838</v>
      </c>
      <c r="D434" s="5002"/>
      <c r="E434" s="1995">
        <f t="shared" si="86"/>
        <v>1100000</v>
      </c>
      <c r="F434" s="1971">
        <f t="shared" si="86"/>
        <v>0</v>
      </c>
      <c r="G434" s="1971">
        <f t="shared" si="86"/>
        <v>0</v>
      </c>
      <c r="H434" s="1973">
        <f t="shared" si="86"/>
        <v>0</v>
      </c>
      <c r="I434" s="1769" t="e">
        <f>H434/G434</f>
        <v>#DIV/0!</v>
      </c>
    </row>
    <row r="435" spans="1:9" ht="38.25" hidden="1" customHeight="1">
      <c r="A435" s="1638"/>
      <c r="B435" s="1894"/>
      <c r="C435" s="1996" t="s">
        <v>86</v>
      </c>
      <c r="D435" s="1997" t="s">
        <v>888</v>
      </c>
      <c r="E435" s="1971">
        <v>1100000</v>
      </c>
      <c r="F435" s="1971">
        <v>0</v>
      </c>
      <c r="G435" s="1788">
        <v>0</v>
      </c>
      <c r="H435" s="1925">
        <v>0</v>
      </c>
      <c r="I435" s="1769" t="e">
        <f t="shared" ref="I435:I438" si="89">H435/G435</f>
        <v>#DIV/0!</v>
      </c>
    </row>
    <row r="436" spans="1:9">
      <c r="A436" s="1638"/>
      <c r="B436" s="1627"/>
      <c r="C436" s="5003" t="s">
        <v>793</v>
      </c>
      <c r="D436" s="4749"/>
      <c r="E436" s="1668">
        <f>E437</f>
        <v>0</v>
      </c>
      <c r="F436" s="1668">
        <f t="shared" ref="F436:H436" si="90">F437</f>
        <v>0</v>
      </c>
      <c r="G436" s="1668">
        <f t="shared" si="90"/>
        <v>21231845</v>
      </c>
      <c r="H436" s="1818">
        <f t="shared" si="90"/>
        <v>12078817.359999999</v>
      </c>
      <c r="I436" s="1769">
        <f t="shared" si="89"/>
        <v>0.56890097681101193</v>
      </c>
    </row>
    <row r="437" spans="1:9">
      <c r="A437" s="1614"/>
      <c r="B437" s="1627"/>
      <c r="C437" s="4874" t="s">
        <v>908</v>
      </c>
      <c r="D437" s="4874"/>
      <c r="E437" s="1998">
        <f>E439</f>
        <v>0</v>
      </c>
      <c r="F437" s="1998">
        <f>SUM(F438:F439)</f>
        <v>0</v>
      </c>
      <c r="G437" s="1998">
        <f t="shared" ref="G437:H437" si="91">SUM(G438:G439)</f>
        <v>21231845</v>
      </c>
      <c r="H437" s="1999">
        <f t="shared" si="91"/>
        <v>12078817.359999999</v>
      </c>
      <c r="I437" s="1769">
        <f t="shared" si="89"/>
        <v>0.56890097681101193</v>
      </c>
    </row>
    <row r="438" spans="1:9" ht="20.25" customHeight="1" thickBot="1">
      <c r="A438" s="1614"/>
      <c r="B438" s="1627"/>
      <c r="C438" s="2000" t="s">
        <v>89</v>
      </c>
      <c r="D438" s="2001" t="s">
        <v>795</v>
      </c>
      <c r="E438" s="1998"/>
      <c r="F438" s="1998">
        <v>0</v>
      </c>
      <c r="G438" s="2002">
        <v>21231845</v>
      </c>
      <c r="H438" s="1999">
        <v>12078817.359999999</v>
      </c>
      <c r="I438" s="1769">
        <f t="shared" si="89"/>
        <v>0.56890097681101193</v>
      </c>
    </row>
    <row r="439" spans="1:9" ht="42" hidden="1" customHeight="1" thickBot="1">
      <c r="A439" s="1614"/>
      <c r="B439" s="1627"/>
      <c r="C439" s="2003" t="s">
        <v>88</v>
      </c>
      <c r="D439" s="2004" t="s">
        <v>909</v>
      </c>
      <c r="E439" s="1678">
        <v>0</v>
      </c>
      <c r="F439" s="1678">
        <v>0</v>
      </c>
      <c r="G439" s="2005">
        <v>0</v>
      </c>
      <c r="H439" s="1925">
        <v>0</v>
      </c>
      <c r="I439" s="1769"/>
    </row>
    <row r="440" spans="1:9" ht="15.75" customHeight="1" thickBot="1">
      <c r="A440" s="1614"/>
      <c r="B440" s="1726" t="s">
        <v>129</v>
      </c>
      <c r="C440" s="1727"/>
      <c r="D440" s="1728" t="s">
        <v>95</v>
      </c>
      <c r="E440" s="1729">
        <f>E441+E457</f>
        <v>6681218</v>
      </c>
      <c r="F440" s="1729">
        <f>F441+F457</f>
        <v>708222</v>
      </c>
      <c r="G440" s="1730">
        <f>G441+G457</f>
        <v>11191844</v>
      </c>
      <c r="H440" s="1731">
        <f>H441+H457</f>
        <v>11165653.57</v>
      </c>
      <c r="I440" s="1732">
        <f t="shared" si="82"/>
        <v>0.99765986462999312</v>
      </c>
    </row>
    <row r="441" spans="1:9" ht="17.100000000000001" customHeight="1">
      <c r="A441" s="1614"/>
      <c r="B441" s="1779"/>
      <c r="C441" s="4871" t="s">
        <v>760</v>
      </c>
      <c r="D441" s="4871"/>
      <c r="E441" s="1615">
        <f t="shared" ref="E441" si="92">E442</f>
        <v>661218</v>
      </c>
      <c r="F441" s="1615">
        <f>F442+F454</f>
        <v>708222</v>
      </c>
      <c r="G441" s="1615">
        <f>G442+G454</f>
        <v>1191844</v>
      </c>
      <c r="H441" s="1617">
        <f>H442+H454</f>
        <v>1165653.5699999998</v>
      </c>
      <c r="I441" s="1769">
        <f t="shared" si="82"/>
        <v>0.97802528686640189</v>
      </c>
    </row>
    <row r="442" spans="1:9" ht="17.100000000000001" customHeight="1">
      <c r="A442" s="1614"/>
      <c r="B442" s="1779"/>
      <c r="C442" s="5004" t="s">
        <v>761</v>
      </c>
      <c r="D442" s="5004"/>
      <c r="E442" s="1923">
        <f>E443+E449</f>
        <v>661218</v>
      </c>
      <c r="F442" s="1923">
        <f>F443+F449</f>
        <v>708222</v>
      </c>
      <c r="G442" s="1799">
        <f>G443+G449</f>
        <v>696798</v>
      </c>
      <c r="H442" s="1925">
        <f>H443+H449</f>
        <v>670608.22</v>
      </c>
      <c r="I442" s="1769">
        <f t="shared" si="82"/>
        <v>0.96241409992565996</v>
      </c>
    </row>
    <row r="443" spans="1:9" ht="17.100000000000001" customHeight="1">
      <c r="A443" s="1614"/>
      <c r="B443" s="1779"/>
      <c r="C443" s="5005" t="s">
        <v>762</v>
      </c>
      <c r="D443" s="5005"/>
      <c r="E443" s="1926">
        <f>SUM(E444:E447)</f>
        <v>493079</v>
      </c>
      <c r="F443" s="1926">
        <f>SUM(F444:F447)</f>
        <v>548222</v>
      </c>
      <c r="G443" s="1927">
        <f>SUM(G444:G447)</f>
        <v>572722</v>
      </c>
      <c r="H443" s="1928">
        <f>SUM(H444:H447)</f>
        <v>546532.73</v>
      </c>
      <c r="I443" s="1769">
        <f t="shared" si="82"/>
        <v>0.95427228218926452</v>
      </c>
    </row>
    <row r="444" spans="1:9" ht="17.100000000000001" customHeight="1">
      <c r="A444" s="1614"/>
      <c r="B444" s="1779"/>
      <c r="C444" s="1938" t="s">
        <v>61</v>
      </c>
      <c r="D444" s="1939" t="s">
        <v>763</v>
      </c>
      <c r="E444" s="1923">
        <v>408077</v>
      </c>
      <c r="F444" s="1923">
        <v>429880</v>
      </c>
      <c r="G444" s="1931">
        <v>447470</v>
      </c>
      <c r="H444" s="1925">
        <v>427191.47</v>
      </c>
      <c r="I444" s="1769">
        <f t="shared" si="82"/>
        <v>0.95468181107113315</v>
      </c>
    </row>
    <row r="445" spans="1:9" ht="17.100000000000001" customHeight="1">
      <c r="A445" s="1614"/>
      <c r="B445" s="1779"/>
      <c r="C445" s="1938" t="s">
        <v>315</v>
      </c>
      <c r="D445" s="1939" t="s">
        <v>764</v>
      </c>
      <c r="E445" s="1923">
        <v>30662</v>
      </c>
      <c r="F445" s="1923">
        <v>33438</v>
      </c>
      <c r="G445" s="1931">
        <v>33648</v>
      </c>
      <c r="H445" s="1925">
        <v>33647.03</v>
      </c>
      <c r="I445" s="1769">
        <f t="shared" si="82"/>
        <v>0.99997117213504516</v>
      </c>
    </row>
    <row r="446" spans="1:9" ht="17.100000000000001" customHeight="1">
      <c r="A446" s="1614"/>
      <c r="B446" s="1779"/>
      <c r="C446" s="1938" t="s">
        <v>62</v>
      </c>
      <c r="D446" s="1939" t="s">
        <v>765</v>
      </c>
      <c r="E446" s="1923">
        <v>47722</v>
      </c>
      <c r="F446" s="1923">
        <v>74312</v>
      </c>
      <c r="G446" s="1931">
        <v>81112</v>
      </c>
      <c r="H446" s="1925">
        <v>76695</v>
      </c>
      <c r="I446" s="1769">
        <f t="shared" si="82"/>
        <v>0.94554443238978203</v>
      </c>
    </row>
    <row r="447" spans="1:9" ht="25.5">
      <c r="A447" s="1638"/>
      <c r="B447" s="1779"/>
      <c r="C447" s="1957" t="s">
        <v>63</v>
      </c>
      <c r="D447" s="2006" t="s">
        <v>766</v>
      </c>
      <c r="E447" s="1923">
        <v>6618</v>
      </c>
      <c r="F447" s="1923">
        <v>10592</v>
      </c>
      <c r="G447" s="1931">
        <v>10492</v>
      </c>
      <c r="H447" s="1925">
        <v>8999.23</v>
      </c>
      <c r="I447" s="1769">
        <f t="shared" si="82"/>
        <v>0.85772302706824244</v>
      </c>
    </row>
    <row r="448" spans="1:9" ht="17.100000000000001" customHeight="1">
      <c r="A448" s="1638"/>
      <c r="B448" s="1779"/>
      <c r="C448" s="1880"/>
      <c r="D448" s="1880"/>
      <c r="E448" s="1661"/>
      <c r="F448" s="1661"/>
      <c r="G448" s="1662"/>
      <c r="H448" s="1663"/>
      <c r="I448" s="1769"/>
    </row>
    <row r="449" spans="1:9" ht="17.100000000000001" customHeight="1">
      <c r="A449" s="1614"/>
      <c r="B449" s="1779"/>
      <c r="C449" s="4995" t="s">
        <v>769</v>
      </c>
      <c r="D449" s="4995"/>
      <c r="E449" s="1926">
        <f>SUM(E450:E452)</f>
        <v>168139</v>
      </c>
      <c r="F449" s="1926">
        <f>SUM(F450:F452)</f>
        <v>160000</v>
      </c>
      <c r="G449" s="1927">
        <f t="shared" ref="G449:H449" si="93">SUM(G450:G452)</f>
        <v>124076</v>
      </c>
      <c r="H449" s="1928">
        <f t="shared" si="93"/>
        <v>124075.49</v>
      </c>
      <c r="I449" s="1769">
        <f t="shared" si="82"/>
        <v>0.9999958896160418</v>
      </c>
    </row>
    <row r="450" spans="1:9" ht="26.25" hidden="1" customHeight="1">
      <c r="A450" s="1614"/>
      <c r="B450" s="1779"/>
      <c r="C450" s="2007" t="s">
        <v>332</v>
      </c>
      <c r="D450" s="2008" t="s">
        <v>770</v>
      </c>
      <c r="E450" s="1948">
        <v>8139</v>
      </c>
      <c r="F450" s="1948">
        <v>0</v>
      </c>
      <c r="G450" s="1931">
        <v>0</v>
      </c>
      <c r="H450" s="1925">
        <v>0</v>
      </c>
      <c r="I450" s="1769" t="e">
        <f t="shared" si="82"/>
        <v>#DIV/0!</v>
      </c>
    </row>
    <row r="451" spans="1:9" ht="17.100000000000001" customHeight="1">
      <c r="A451" s="1614"/>
      <c r="B451" s="1779"/>
      <c r="C451" s="1946" t="s">
        <v>23</v>
      </c>
      <c r="D451" s="1947" t="s">
        <v>776</v>
      </c>
      <c r="E451" s="1948">
        <v>160000</v>
      </c>
      <c r="F451" s="1923">
        <v>160000</v>
      </c>
      <c r="G451" s="1931">
        <v>124076</v>
      </c>
      <c r="H451" s="1925">
        <v>124075.49</v>
      </c>
      <c r="I451" s="1769">
        <f t="shared" si="82"/>
        <v>0.9999958896160418</v>
      </c>
    </row>
    <row r="452" spans="1:9" ht="17.100000000000001" hidden="1" customHeight="1">
      <c r="A452" s="1627"/>
      <c r="B452" s="1684"/>
      <c r="C452" s="1953" t="s">
        <v>319</v>
      </c>
      <c r="D452" s="2009" t="s">
        <v>783</v>
      </c>
      <c r="E452" s="1923">
        <v>0</v>
      </c>
      <c r="F452" s="1923">
        <v>0</v>
      </c>
      <c r="G452" s="2005">
        <v>0</v>
      </c>
      <c r="H452" s="1925">
        <v>0</v>
      </c>
      <c r="I452" s="2010" t="e">
        <f t="shared" si="82"/>
        <v>#DIV/0!</v>
      </c>
    </row>
    <row r="453" spans="1:9" ht="17.100000000000001" customHeight="1">
      <c r="A453" s="1614"/>
      <c r="B453" s="1684"/>
      <c r="C453" s="2011"/>
      <c r="D453" s="2009"/>
      <c r="E453" s="1661"/>
      <c r="F453" s="1661"/>
      <c r="G453" s="1768"/>
      <c r="H453" s="1663"/>
      <c r="I453" s="1769"/>
    </row>
    <row r="454" spans="1:9" ht="17.100000000000001" customHeight="1">
      <c r="A454" s="1614"/>
      <c r="B454" s="1737"/>
      <c r="C454" s="4978" t="s">
        <v>838</v>
      </c>
      <c r="D454" s="4978"/>
      <c r="E454" s="1661">
        <f>E455+E456</f>
        <v>50000</v>
      </c>
      <c r="F454" s="1661">
        <f>F455</f>
        <v>0</v>
      </c>
      <c r="G454" s="1661">
        <f t="shared" ref="G454:H454" si="94">G455</f>
        <v>495046</v>
      </c>
      <c r="H454" s="1663">
        <f t="shared" si="94"/>
        <v>495045.35</v>
      </c>
      <c r="I454" s="1769">
        <f t="shared" si="82"/>
        <v>0.99999868699070382</v>
      </c>
    </row>
    <row r="455" spans="1:9" ht="40.5" customHeight="1">
      <c r="A455" s="1614"/>
      <c r="B455" s="1737"/>
      <c r="C455" s="1932" t="s">
        <v>86</v>
      </c>
      <c r="D455" s="1933" t="s">
        <v>888</v>
      </c>
      <c r="E455" s="1805">
        <v>50000</v>
      </c>
      <c r="F455" s="1805"/>
      <c r="G455" s="2005">
        <v>495046</v>
      </c>
      <c r="H455" s="1806">
        <v>495045.35</v>
      </c>
      <c r="I455" s="1769">
        <f t="shared" si="82"/>
        <v>0.99999868699070382</v>
      </c>
    </row>
    <row r="456" spans="1:9" ht="17.100000000000001" customHeight="1">
      <c r="A456" s="1614"/>
      <c r="B456" s="1684"/>
      <c r="C456" s="2012"/>
      <c r="D456" s="1875"/>
      <c r="E456" s="1668"/>
      <c r="F456" s="1668"/>
      <c r="G456" s="1662"/>
      <c r="H456" s="1663"/>
      <c r="I456" s="1769"/>
    </row>
    <row r="457" spans="1:9" ht="17.100000000000001" customHeight="1">
      <c r="A457" s="1614"/>
      <c r="B457" s="1684"/>
      <c r="C457" s="4996" t="s">
        <v>793</v>
      </c>
      <c r="D457" s="4997"/>
      <c r="E457" s="1884">
        <f>E458+E461</f>
        <v>6020000</v>
      </c>
      <c r="F457" s="1884">
        <f>F458+F461</f>
        <v>0</v>
      </c>
      <c r="G457" s="2013">
        <f>G458+G461</f>
        <v>10000000</v>
      </c>
      <c r="H457" s="1886">
        <f>H458+H461</f>
        <v>10000000</v>
      </c>
      <c r="I457" s="1780">
        <f t="shared" si="82"/>
        <v>1</v>
      </c>
    </row>
    <row r="458" spans="1:9" ht="17.100000000000001" hidden="1" customHeight="1">
      <c r="A458" s="1614"/>
      <c r="B458" s="1684"/>
      <c r="C458" s="4874" t="s">
        <v>908</v>
      </c>
      <c r="D458" s="4874"/>
      <c r="E458" s="1805">
        <f>E459</f>
        <v>20000</v>
      </c>
      <c r="F458" s="1805">
        <f t="shared" ref="F458" si="95">F459</f>
        <v>0</v>
      </c>
      <c r="G458" s="2005">
        <f>G459</f>
        <v>0</v>
      </c>
      <c r="H458" s="1806">
        <f>H459</f>
        <v>0</v>
      </c>
      <c r="I458" s="1769" t="e">
        <f t="shared" si="82"/>
        <v>#DIV/0!</v>
      </c>
    </row>
    <row r="459" spans="1:9" ht="42.75" hidden="1" customHeight="1">
      <c r="A459" s="1614"/>
      <c r="B459" s="1684"/>
      <c r="C459" s="1946" t="s">
        <v>88</v>
      </c>
      <c r="D459" s="1947" t="s">
        <v>909</v>
      </c>
      <c r="E459" s="1668">
        <v>20000</v>
      </c>
      <c r="F459" s="1668">
        <v>0</v>
      </c>
      <c r="G459" s="1931">
        <v>0</v>
      </c>
      <c r="H459" s="1925">
        <v>0</v>
      </c>
      <c r="I459" s="1769" t="e">
        <f t="shared" si="82"/>
        <v>#DIV/0!</v>
      </c>
    </row>
    <row r="460" spans="1:9" ht="18" hidden="1" customHeight="1">
      <c r="A460" s="1614"/>
      <c r="B460" s="1684"/>
      <c r="C460" s="4998"/>
      <c r="D460" s="4999"/>
      <c r="E460" s="1923"/>
      <c r="F460" s="1923"/>
      <c r="G460" s="2005"/>
      <c r="H460" s="1925"/>
      <c r="I460" s="1769"/>
    </row>
    <row r="461" spans="1:9" ht="18" customHeight="1">
      <c r="A461" s="1614"/>
      <c r="B461" s="1684"/>
      <c r="C461" s="5000" t="s">
        <v>910</v>
      </c>
      <c r="D461" s="5001"/>
      <c r="E461" s="2014">
        <f>E462</f>
        <v>6000000</v>
      </c>
      <c r="F461" s="2014">
        <f t="shared" ref="F461" si="96">F462</f>
        <v>0</v>
      </c>
      <c r="G461" s="2005">
        <f>G462</f>
        <v>10000000</v>
      </c>
      <c r="H461" s="1925">
        <f>H462</f>
        <v>10000000</v>
      </c>
      <c r="I461" s="1769">
        <f t="shared" si="82"/>
        <v>1</v>
      </c>
    </row>
    <row r="462" spans="1:9" ht="43.5" customHeight="1" thickBot="1">
      <c r="A462" s="1644"/>
      <c r="B462" s="1849"/>
      <c r="C462" s="2015" t="s">
        <v>911</v>
      </c>
      <c r="D462" s="2016" t="s">
        <v>912</v>
      </c>
      <c r="E462" s="2017">
        <v>6000000</v>
      </c>
      <c r="F462" s="2017">
        <v>0</v>
      </c>
      <c r="G462" s="1921">
        <v>10000000</v>
      </c>
      <c r="H462" s="1747">
        <v>10000000</v>
      </c>
      <c r="I462" s="1651">
        <f t="shared" si="82"/>
        <v>1</v>
      </c>
    </row>
    <row r="463" spans="1:9" ht="17.100000000000001" customHeight="1" thickBot="1">
      <c r="A463" s="1819" t="s">
        <v>130</v>
      </c>
      <c r="B463" s="1820"/>
      <c r="C463" s="1821"/>
      <c r="D463" s="1822" t="s">
        <v>913</v>
      </c>
      <c r="E463" s="1823">
        <f>E464+E500</f>
        <v>1223719</v>
      </c>
      <c r="F463" s="1823">
        <f>F464+F500</f>
        <v>5373106</v>
      </c>
      <c r="G463" s="1824">
        <f>G464+G500</f>
        <v>5260859</v>
      </c>
      <c r="H463" s="1825">
        <f>H464+H500</f>
        <v>2992445.82</v>
      </c>
      <c r="I463" s="1826">
        <f t="shared" si="82"/>
        <v>0.56881315769915142</v>
      </c>
    </row>
    <row r="464" spans="1:9" ht="17.100000000000001" customHeight="1" thickBot="1">
      <c r="A464" s="1979"/>
      <c r="B464" s="1726" t="s">
        <v>132</v>
      </c>
      <c r="C464" s="1727"/>
      <c r="D464" s="1728" t="s">
        <v>465</v>
      </c>
      <c r="E464" s="1729">
        <f>E465+E497</f>
        <v>887199</v>
      </c>
      <c r="F464" s="1729">
        <f>F465+F497</f>
        <v>2294221</v>
      </c>
      <c r="G464" s="1730">
        <f>G465+G497</f>
        <v>2333886</v>
      </c>
      <c r="H464" s="1731">
        <f>H465+H497</f>
        <v>2155091.81</v>
      </c>
      <c r="I464" s="1732">
        <f t="shared" si="82"/>
        <v>0.92339206370833882</v>
      </c>
    </row>
    <row r="465" spans="1:9" ht="17.100000000000001" customHeight="1">
      <c r="A465" s="1638"/>
      <c r="B465" s="2018"/>
      <c r="C465" s="4871" t="s">
        <v>760</v>
      </c>
      <c r="D465" s="4871"/>
      <c r="E465" s="1616">
        <f>E466+E473+E476</f>
        <v>887199</v>
      </c>
      <c r="F465" s="1734">
        <f>F466+F473+F476</f>
        <v>2294221</v>
      </c>
      <c r="G465" s="1734">
        <f>G466+G473+G476</f>
        <v>2333886</v>
      </c>
      <c r="H465" s="2019">
        <f>H466+H473+H476</f>
        <v>2155091.81</v>
      </c>
      <c r="I465" s="2020">
        <f t="shared" si="82"/>
        <v>0.92339206370833882</v>
      </c>
    </row>
    <row r="466" spans="1:9" ht="17.100000000000001" customHeight="1">
      <c r="A466" s="1614"/>
      <c r="B466" s="1627"/>
      <c r="C466" s="4988" t="s">
        <v>761</v>
      </c>
      <c r="D466" s="4988"/>
      <c r="E466" s="1799">
        <f t="shared" ref="E466:H466" si="97">E467</f>
        <v>600000</v>
      </c>
      <c r="F466" s="1923">
        <f t="shared" si="97"/>
        <v>950000</v>
      </c>
      <c r="G466" s="1923">
        <f>G467</f>
        <v>960000</v>
      </c>
      <c r="H466" s="2021">
        <f t="shared" si="97"/>
        <v>915666.65</v>
      </c>
      <c r="I466" s="2022">
        <f t="shared" si="82"/>
        <v>0.95381942708333334</v>
      </c>
    </row>
    <row r="467" spans="1:9" ht="17.100000000000001" customHeight="1">
      <c r="A467" s="1614"/>
      <c r="B467" s="1627"/>
      <c r="C467" s="4989" t="s">
        <v>769</v>
      </c>
      <c r="D467" s="4990"/>
      <c r="E467" s="2023">
        <f>E471</f>
        <v>600000</v>
      </c>
      <c r="F467" s="2024">
        <f>SUM(F468:F471)</f>
        <v>950000</v>
      </c>
      <c r="G467" s="2024">
        <f t="shared" ref="G467:H467" si="98">SUM(G468:G471)</f>
        <v>960000</v>
      </c>
      <c r="H467" s="2025">
        <f t="shared" si="98"/>
        <v>915666.65</v>
      </c>
      <c r="I467" s="2026">
        <f t="shared" si="82"/>
        <v>0.95381942708333334</v>
      </c>
    </row>
    <row r="468" spans="1:9" ht="17.100000000000001" customHeight="1">
      <c r="A468" s="1614"/>
      <c r="B468" s="1627"/>
      <c r="C468" s="2000" t="s">
        <v>22</v>
      </c>
      <c r="D468" s="2027" t="s">
        <v>771</v>
      </c>
      <c r="E468" s="2028"/>
      <c r="F468" s="2029">
        <v>0</v>
      </c>
      <c r="G468" s="2029">
        <v>96420</v>
      </c>
      <c r="H468" s="2030">
        <v>66420</v>
      </c>
      <c r="I468" s="2026">
        <f t="shared" si="82"/>
        <v>0.68886123210952088</v>
      </c>
    </row>
    <row r="469" spans="1:9" ht="17.100000000000001" customHeight="1">
      <c r="A469" s="1614"/>
      <c r="B469" s="1627"/>
      <c r="C469" s="2031" t="s">
        <v>23</v>
      </c>
      <c r="D469" s="2032" t="s">
        <v>914</v>
      </c>
      <c r="E469" s="2005"/>
      <c r="F469" s="1923">
        <v>450000</v>
      </c>
      <c r="G469" s="1923">
        <v>290580</v>
      </c>
      <c r="H469" s="2021">
        <v>277246.65000000002</v>
      </c>
      <c r="I469" s="2026">
        <f t="shared" si="82"/>
        <v>0.95411470163122036</v>
      </c>
    </row>
    <row r="470" spans="1:9" ht="17.100000000000001" customHeight="1">
      <c r="A470" s="1614"/>
      <c r="B470" s="1627"/>
      <c r="C470" s="2031" t="s">
        <v>327</v>
      </c>
      <c r="D470" s="2032" t="s">
        <v>778</v>
      </c>
      <c r="E470" s="2005"/>
      <c r="F470" s="1923">
        <v>100000</v>
      </c>
      <c r="G470" s="1923">
        <v>173000</v>
      </c>
      <c r="H470" s="2021">
        <v>172000</v>
      </c>
      <c r="I470" s="2026">
        <f t="shared" si="82"/>
        <v>0.9942196531791907</v>
      </c>
    </row>
    <row r="471" spans="1:9" ht="17.100000000000001" customHeight="1">
      <c r="A471" s="1614"/>
      <c r="B471" s="1627"/>
      <c r="C471" s="2033" t="s">
        <v>333</v>
      </c>
      <c r="D471" s="2034" t="s">
        <v>782</v>
      </c>
      <c r="E471" s="1799">
        <v>600000</v>
      </c>
      <c r="F471" s="1923">
        <v>400000</v>
      </c>
      <c r="G471" s="1923">
        <v>400000</v>
      </c>
      <c r="H471" s="2021">
        <v>400000</v>
      </c>
      <c r="I471" s="2035">
        <f t="shared" si="82"/>
        <v>1</v>
      </c>
    </row>
    <row r="472" spans="1:9" ht="17.100000000000001" customHeight="1">
      <c r="A472" s="1614"/>
      <c r="B472" s="1627"/>
      <c r="C472" s="2036"/>
      <c r="D472" s="2037"/>
      <c r="E472" s="1760"/>
      <c r="F472" s="1661"/>
      <c r="G472" s="1661"/>
      <c r="H472" s="2038"/>
      <c r="I472" s="2022"/>
    </row>
    <row r="473" spans="1:9" ht="17.100000000000001" customHeight="1">
      <c r="A473" s="1614"/>
      <c r="B473" s="1627"/>
      <c r="C473" s="4991" t="s">
        <v>838</v>
      </c>
      <c r="D473" s="4991"/>
      <c r="E473" s="2039">
        <f t="shared" ref="E473:H473" si="99">E474</f>
        <v>100000</v>
      </c>
      <c r="F473" s="1923">
        <f t="shared" si="99"/>
        <v>1240000</v>
      </c>
      <c r="G473" s="1923">
        <f t="shared" si="99"/>
        <v>1254146</v>
      </c>
      <c r="H473" s="2040">
        <f t="shared" si="99"/>
        <v>1174184.8500000001</v>
      </c>
      <c r="I473" s="2022">
        <f t="shared" si="82"/>
        <v>0.93624255070781237</v>
      </c>
    </row>
    <row r="474" spans="1:9" ht="54.75" customHeight="1">
      <c r="A474" s="1614"/>
      <c r="B474" s="1627"/>
      <c r="C474" s="2041" t="s">
        <v>44</v>
      </c>
      <c r="D474" s="2042" t="s">
        <v>915</v>
      </c>
      <c r="E474" s="2043">
        <v>100000</v>
      </c>
      <c r="F474" s="1923">
        <v>1240000</v>
      </c>
      <c r="G474" s="1923">
        <v>1254146</v>
      </c>
      <c r="H474" s="2044">
        <v>1174184.8500000001</v>
      </c>
      <c r="I474" s="2022">
        <f t="shared" si="82"/>
        <v>0.93624255070781237</v>
      </c>
    </row>
    <row r="475" spans="1:9">
      <c r="A475" s="1638"/>
      <c r="B475" s="1638"/>
      <c r="C475" s="2045"/>
      <c r="D475" s="2046"/>
      <c r="E475" s="2043"/>
      <c r="F475" s="1923"/>
      <c r="G475" s="1923"/>
      <c r="H475" s="2044"/>
      <c r="I475" s="2022"/>
    </row>
    <row r="476" spans="1:9" ht="30" customHeight="1">
      <c r="A476" s="1638"/>
      <c r="B476" s="1638"/>
      <c r="C476" s="4992" t="s">
        <v>803</v>
      </c>
      <c r="D476" s="4992"/>
      <c r="E476" s="1942">
        <f>SUM(E477:E495)</f>
        <v>187199</v>
      </c>
      <c r="F476" s="1942">
        <f>SUM(F477:F495)</f>
        <v>104221</v>
      </c>
      <c r="G476" s="1943">
        <f>SUM(G477:G495)</f>
        <v>119740</v>
      </c>
      <c r="H476" s="1944">
        <f>SUM(H477:H495)</f>
        <v>65240.31</v>
      </c>
      <c r="I476" s="2047">
        <f t="shared" si="82"/>
        <v>0.54484975780858524</v>
      </c>
    </row>
    <row r="477" spans="1:9" ht="18" customHeight="1">
      <c r="A477" s="1614"/>
      <c r="B477" s="1627"/>
      <c r="C477" s="2048" t="s">
        <v>807</v>
      </c>
      <c r="D477" s="2049" t="s">
        <v>763</v>
      </c>
      <c r="E477" s="1923">
        <v>11916</v>
      </c>
      <c r="F477" s="1923">
        <v>6907</v>
      </c>
      <c r="G477" s="2050">
        <f>6907</f>
        <v>6907</v>
      </c>
      <c r="H477" s="1925">
        <v>4156.18</v>
      </c>
      <c r="I477" s="1664">
        <f t="shared" si="82"/>
        <v>0.60173447227450416</v>
      </c>
    </row>
    <row r="478" spans="1:9" ht="18" customHeight="1">
      <c r="A478" s="1614"/>
      <c r="B478" s="1627"/>
      <c r="C478" s="2048" t="s">
        <v>808</v>
      </c>
      <c r="D478" s="2049" t="s">
        <v>763</v>
      </c>
      <c r="E478" s="1923">
        <v>2103</v>
      </c>
      <c r="F478" s="1923">
        <v>1218</v>
      </c>
      <c r="G478" s="2050">
        <f>1218</f>
        <v>1218</v>
      </c>
      <c r="H478" s="1925">
        <v>733.44</v>
      </c>
      <c r="I478" s="1664">
        <f t="shared" si="82"/>
        <v>0.60216748768472916</v>
      </c>
    </row>
    <row r="479" spans="1:9" ht="18" customHeight="1">
      <c r="A479" s="1627"/>
      <c r="B479" s="1627"/>
      <c r="C479" s="2051" t="s">
        <v>811</v>
      </c>
      <c r="D479" s="2052" t="s">
        <v>765</v>
      </c>
      <c r="E479" s="1923">
        <v>2072</v>
      </c>
      <c r="F479" s="1923">
        <v>1187</v>
      </c>
      <c r="G479" s="2050">
        <f>1187</f>
        <v>1187</v>
      </c>
      <c r="H479" s="1925">
        <v>714.44</v>
      </c>
      <c r="I479" s="1664">
        <f t="shared" si="82"/>
        <v>0.60188711036225784</v>
      </c>
    </row>
    <row r="480" spans="1:9" ht="18" customHeight="1">
      <c r="A480" s="1614"/>
      <c r="B480" s="1627"/>
      <c r="C480" s="1659" t="s">
        <v>812</v>
      </c>
      <c r="D480" s="1660" t="s">
        <v>765</v>
      </c>
      <c r="E480" s="1661">
        <v>365</v>
      </c>
      <c r="F480" s="1661">
        <v>210</v>
      </c>
      <c r="G480" s="1662">
        <f>210</f>
        <v>210</v>
      </c>
      <c r="H480" s="1663">
        <v>126.08</v>
      </c>
      <c r="I480" s="1769">
        <f t="shared" si="82"/>
        <v>0.60038095238095235</v>
      </c>
    </row>
    <row r="481" spans="1:9" ht="28.5" customHeight="1">
      <c r="A481" s="1614"/>
      <c r="B481" s="1627"/>
      <c r="C481" s="2048" t="s">
        <v>813</v>
      </c>
      <c r="D481" s="2049" t="s">
        <v>766</v>
      </c>
      <c r="E481" s="1923">
        <v>291</v>
      </c>
      <c r="F481" s="1923">
        <v>169</v>
      </c>
      <c r="G481" s="2050">
        <f>169</f>
        <v>169</v>
      </c>
      <c r="H481" s="1925">
        <v>101.83</v>
      </c>
      <c r="I481" s="1769">
        <f t="shared" si="82"/>
        <v>0.60254437869822486</v>
      </c>
    </row>
    <row r="482" spans="1:9" ht="27.75" customHeight="1">
      <c r="A482" s="1614"/>
      <c r="B482" s="1627"/>
      <c r="C482" s="2048" t="s">
        <v>814</v>
      </c>
      <c r="D482" s="2049" t="s">
        <v>766</v>
      </c>
      <c r="E482" s="1923">
        <v>52</v>
      </c>
      <c r="F482" s="1923">
        <v>30</v>
      </c>
      <c r="G482" s="2050">
        <f>30</f>
        <v>30</v>
      </c>
      <c r="H482" s="1925">
        <v>17.97</v>
      </c>
      <c r="I482" s="1769">
        <f t="shared" si="82"/>
        <v>0.59899999999999998</v>
      </c>
    </row>
    <row r="483" spans="1:9" ht="19.5" customHeight="1">
      <c r="A483" s="1614"/>
      <c r="B483" s="1627"/>
      <c r="C483" s="2048" t="s">
        <v>820</v>
      </c>
      <c r="D483" s="2049" t="s">
        <v>771</v>
      </c>
      <c r="E483" s="1923"/>
      <c r="F483" s="1923">
        <v>0</v>
      </c>
      <c r="G483" s="2050">
        <f>77082</f>
        <v>77082</v>
      </c>
      <c r="H483" s="1925">
        <v>34827.9</v>
      </c>
      <c r="I483" s="1769">
        <f t="shared" si="82"/>
        <v>0.45182922082976573</v>
      </c>
    </row>
    <row r="484" spans="1:9" ht="19.5" customHeight="1">
      <c r="A484" s="1614"/>
      <c r="B484" s="1627"/>
      <c r="C484" s="2048" t="s">
        <v>821</v>
      </c>
      <c r="D484" s="2049" t="s">
        <v>771</v>
      </c>
      <c r="E484" s="1923"/>
      <c r="F484" s="1923">
        <v>0</v>
      </c>
      <c r="G484" s="2050">
        <f>13603</f>
        <v>13603</v>
      </c>
      <c r="H484" s="1925">
        <v>6146.1</v>
      </c>
      <c r="I484" s="1769">
        <f t="shared" si="82"/>
        <v>0.45181945159156073</v>
      </c>
    </row>
    <row r="485" spans="1:9" ht="21" hidden="1" customHeight="1">
      <c r="A485" s="1614"/>
      <c r="B485" s="1627"/>
      <c r="C485" s="2048" t="s">
        <v>23</v>
      </c>
      <c r="D485" s="2049" t="s">
        <v>776</v>
      </c>
      <c r="E485" s="1923"/>
      <c r="F485" s="1923">
        <v>0</v>
      </c>
      <c r="G485" s="2050">
        <v>0</v>
      </c>
      <c r="H485" s="1925">
        <v>0</v>
      </c>
      <c r="I485" s="1769">
        <v>1</v>
      </c>
    </row>
    <row r="486" spans="1:9" ht="18" customHeight="1">
      <c r="A486" s="1614"/>
      <c r="B486" s="1627"/>
      <c r="C486" s="2048" t="s">
        <v>824</v>
      </c>
      <c r="D486" s="2049" t="s">
        <v>776</v>
      </c>
      <c r="E486" s="1923">
        <v>100988</v>
      </c>
      <c r="F486" s="1923">
        <v>75225</v>
      </c>
      <c r="G486" s="2050">
        <f>15370</f>
        <v>15370</v>
      </c>
      <c r="H486" s="1925">
        <v>15368.85</v>
      </c>
      <c r="I486" s="1769">
        <f t="shared" si="82"/>
        <v>0.99992517891997401</v>
      </c>
    </row>
    <row r="487" spans="1:9" ht="18" customHeight="1" thickBot="1">
      <c r="A487" s="1644"/>
      <c r="B487" s="1645"/>
      <c r="C487" s="2053" t="s">
        <v>825</v>
      </c>
      <c r="D487" s="2054" t="s">
        <v>776</v>
      </c>
      <c r="E487" s="1678">
        <v>17821</v>
      </c>
      <c r="F487" s="1678">
        <v>13275</v>
      </c>
      <c r="G487" s="1921">
        <f>2713</f>
        <v>2713</v>
      </c>
      <c r="H487" s="1747">
        <v>2712.15</v>
      </c>
      <c r="I487" s="1651">
        <f t="shared" si="82"/>
        <v>0.99968669369701446</v>
      </c>
    </row>
    <row r="488" spans="1:9" ht="18" hidden="1" customHeight="1">
      <c r="A488" s="1614"/>
      <c r="B488" s="1627"/>
      <c r="C488" s="1659" t="s">
        <v>916</v>
      </c>
      <c r="D488" s="1660" t="s">
        <v>917</v>
      </c>
      <c r="E488" s="1661"/>
      <c r="F488" s="1661">
        <v>0</v>
      </c>
      <c r="G488" s="1761">
        <v>0</v>
      </c>
      <c r="H488" s="1663">
        <v>0</v>
      </c>
      <c r="I488" s="1651" t="e">
        <f t="shared" si="82"/>
        <v>#DIV/0!</v>
      </c>
    </row>
    <row r="489" spans="1:9" ht="18" hidden="1" customHeight="1">
      <c r="A489" s="1614"/>
      <c r="B489" s="1627"/>
      <c r="C489" s="2048" t="s">
        <v>918</v>
      </c>
      <c r="D489" s="2049" t="s">
        <v>917</v>
      </c>
      <c r="E489" s="1923">
        <v>32802</v>
      </c>
      <c r="F489" s="1923">
        <v>0</v>
      </c>
      <c r="G489" s="2050">
        <v>0</v>
      </c>
      <c r="H489" s="1925">
        <v>0</v>
      </c>
      <c r="I489" s="1651" t="e">
        <f t="shared" ref="I489:I495" si="100">H489/G489</f>
        <v>#DIV/0!</v>
      </c>
    </row>
    <row r="490" spans="1:9" ht="18" hidden="1" customHeight="1">
      <c r="A490" s="1614"/>
      <c r="B490" s="1627"/>
      <c r="C490" s="2048" t="s">
        <v>919</v>
      </c>
      <c r="D490" s="2049" t="s">
        <v>917</v>
      </c>
      <c r="E490" s="1923">
        <v>5789</v>
      </c>
      <c r="F490" s="1923">
        <v>0</v>
      </c>
      <c r="G490" s="2050">
        <v>0</v>
      </c>
      <c r="H490" s="1925">
        <v>0</v>
      </c>
      <c r="I490" s="1651" t="e">
        <f t="shared" si="100"/>
        <v>#DIV/0!</v>
      </c>
    </row>
    <row r="491" spans="1:9" ht="18" hidden="1" customHeight="1">
      <c r="A491" s="1614"/>
      <c r="B491" s="1627"/>
      <c r="C491" s="2048" t="s">
        <v>827</v>
      </c>
      <c r="D491" s="2049" t="s">
        <v>778</v>
      </c>
      <c r="E491" s="1923"/>
      <c r="F491" s="1923"/>
      <c r="G491" s="2050"/>
      <c r="H491" s="1925"/>
      <c r="I491" s="1651" t="e">
        <f t="shared" si="100"/>
        <v>#DIV/0!</v>
      </c>
    </row>
    <row r="492" spans="1:9" ht="18" customHeight="1" thickBot="1">
      <c r="A492" s="1614"/>
      <c r="B492" s="1627"/>
      <c r="C492" s="2055" t="s">
        <v>828</v>
      </c>
      <c r="D492" s="2056" t="s">
        <v>781</v>
      </c>
      <c r="E492" s="2057">
        <v>2550</v>
      </c>
      <c r="F492" s="2057">
        <v>2550</v>
      </c>
      <c r="G492" s="2058">
        <f>0</f>
        <v>0</v>
      </c>
      <c r="H492" s="2059">
        <v>0</v>
      </c>
      <c r="I492" s="1651"/>
    </row>
    <row r="493" spans="1:9" ht="18" customHeight="1" thickBot="1">
      <c r="A493" s="1638"/>
      <c r="B493" s="1638"/>
      <c r="C493" s="2060" t="s">
        <v>829</v>
      </c>
      <c r="D493" s="2061" t="s">
        <v>781</v>
      </c>
      <c r="E493" s="1923">
        <v>450</v>
      </c>
      <c r="F493" s="1923">
        <v>450</v>
      </c>
      <c r="G493" s="2050">
        <v>0</v>
      </c>
      <c r="H493" s="1925">
        <v>0</v>
      </c>
      <c r="I493" s="1651"/>
    </row>
    <row r="494" spans="1:9" ht="18" customHeight="1" thickBot="1">
      <c r="A494" s="1638"/>
      <c r="B494" s="1638"/>
      <c r="C494" s="1659" t="s">
        <v>920</v>
      </c>
      <c r="D494" s="1660" t="s">
        <v>900</v>
      </c>
      <c r="E494" s="1661">
        <v>8500</v>
      </c>
      <c r="F494" s="1661">
        <v>2550</v>
      </c>
      <c r="G494" s="1662">
        <f>1064</f>
        <v>1064</v>
      </c>
      <c r="H494" s="1663">
        <v>285.06</v>
      </c>
      <c r="I494" s="1651">
        <f t="shared" si="100"/>
        <v>0.26791353383458649</v>
      </c>
    </row>
    <row r="495" spans="1:9" ht="18" customHeight="1" thickBot="1">
      <c r="A495" s="1638"/>
      <c r="B495" s="1627"/>
      <c r="C495" s="2048" t="s">
        <v>921</v>
      </c>
      <c r="D495" s="2049" t="s">
        <v>900</v>
      </c>
      <c r="E495" s="1923">
        <v>1500</v>
      </c>
      <c r="F495" s="1923">
        <v>450</v>
      </c>
      <c r="G495" s="2050">
        <f>187</f>
        <v>187</v>
      </c>
      <c r="H495" s="1925">
        <v>50.31</v>
      </c>
      <c r="I495" s="1651">
        <f t="shared" si="100"/>
        <v>0.26903743315508022</v>
      </c>
    </row>
    <row r="496" spans="1:9" ht="15.75" hidden="1" customHeight="1" thickBot="1">
      <c r="A496" s="1638"/>
      <c r="B496" s="1627"/>
      <c r="C496" s="4993"/>
      <c r="D496" s="4994"/>
      <c r="E496" s="1923"/>
      <c r="F496" s="1768"/>
      <c r="G496" s="2050"/>
      <c r="H496" s="1925"/>
      <c r="I496" s="1769"/>
    </row>
    <row r="497" spans="1:9" ht="18" hidden="1" customHeight="1">
      <c r="A497" s="1638"/>
      <c r="B497" s="1627"/>
      <c r="C497" s="4899" t="s">
        <v>793</v>
      </c>
      <c r="D497" s="4749"/>
      <c r="E497" s="1668">
        <f>E498</f>
        <v>0</v>
      </c>
      <c r="F497" s="1908">
        <f t="shared" ref="F497:H498" si="101">F498</f>
        <v>0</v>
      </c>
      <c r="G497" s="1908">
        <f t="shared" si="101"/>
        <v>0</v>
      </c>
      <c r="H497" s="1910">
        <f t="shared" si="101"/>
        <v>0</v>
      </c>
      <c r="I497" s="1780" t="e">
        <f t="shared" ref="I497:I559" si="102">H497/G497</f>
        <v>#DIV/0!</v>
      </c>
    </row>
    <row r="498" spans="1:9" ht="18" hidden="1" customHeight="1">
      <c r="A498" s="1638"/>
      <c r="B498" s="1627"/>
      <c r="C498" s="4874" t="s">
        <v>908</v>
      </c>
      <c r="D498" s="4874"/>
      <c r="E498" s="1923">
        <f>E499</f>
        <v>0</v>
      </c>
      <c r="F498" s="1923">
        <f t="shared" si="101"/>
        <v>0</v>
      </c>
      <c r="G498" s="1923">
        <f>G499</f>
        <v>0</v>
      </c>
      <c r="H498" s="1925">
        <f t="shared" si="101"/>
        <v>0</v>
      </c>
      <c r="I498" s="1769" t="e">
        <f t="shared" si="102"/>
        <v>#DIV/0!</v>
      </c>
    </row>
    <row r="499" spans="1:9" ht="42" hidden="1" customHeight="1" thickBot="1">
      <c r="A499" s="1638"/>
      <c r="B499" s="1645"/>
      <c r="C499" s="2053" t="s">
        <v>88</v>
      </c>
      <c r="D499" s="2054" t="s">
        <v>909</v>
      </c>
      <c r="E499" s="1678"/>
      <c r="F499" s="1678">
        <v>0</v>
      </c>
      <c r="G499" s="1921">
        <v>0</v>
      </c>
      <c r="H499" s="1747">
        <v>0</v>
      </c>
      <c r="I499" s="1651" t="e">
        <f t="shared" si="102"/>
        <v>#DIV/0!</v>
      </c>
    </row>
    <row r="500" spans="1:9" ht="17.100000000000001" customHeight="1" thickBot="1">
      <c r="A500" s="1638"/>
      <c r="B500" s="1726" t="s">
        <v>133</v>
      </c>
      <c r="C500" s="1727"/>
      <c r="D500" s="1728" t="s">
        <v>95</v>
      </c>
      <c r="E500" s="1729">
        <f>SUM(E501+E541)</f>
        <v>336520</v>
      </c>
      <c r="F500" s="1729">
        <f>SUM(F501+F541)</f>
        <v>3078885</v>
      </c>
      <c r="G500" s="1730">
        <f>SUM(G501+G541)</f>
        <v>2926973</v>
      </c>
      <c r="H500" s="1731">
        <f t="shared" ref="H500" si="103">SUM(H501+H541)</f>
        <v>837354.00999999989</v>
      </c>
      <c r="I500" s="2062">
        <f t="shared" si="102"/>
        <v>0.28608190441114417</v>
      </c>
    </row>
    <row r="501" spans="1:9" ht="17.100000000000001" customHeight="1">
      <c r="A501" s="1614"/>
      <c r="B501" s="1733"/>
      <c r="C501" s="4982" t="s">
        <v>760</v>
      </c>
      <c r="D501" s="4875"/>
      <c r="E501" s="1985">
        <f>E502+E519+E522</f>
        <v>326520</v>
      </c>
      <c r="F501" s="1985">
        <f>F502+F519+F522</f>
        <v>2678840</v>
      </c>
      <c r="G501" s="2063">
        <f t="shared" ref="G501:H501" si="104">G502+G519+G522</f>
        <v>2694240</v>
      </c>
      <c r="H501" s="1970">
        <f t="shared" si="104"/>
        <v>611285.40999999992</v>
      </c>
      <c r="I501" s="1780">
        <f t="shared" si="102"/>
        <v>0.22688602722845772</v>
      </c>
    </row>
    <row r="502" spans="1:9" ht="16.5" customHeight="1">
      <c r="A502" s="1614"/>
      <c r="B502" s="1737"/>
      <c r="C502" s="4983" t="s">
        <v>761</v>
      </c>
      <c r="D502" s="4984"/>
      <c r="E502" s="1971">
        <f>E503+E510</f>
        <v>306520</v>
      </c>
      <c r="F502" s="1971">
        <f>F503+F510</f>
        <v>630340</v>
      </c>
      <c r="G502" s="2064">
        <f t="shared" ref="G502:H502" si="105">G503+G510</f>
        <v>637740</v>
      </c>
      <c r="H502" s="1973">
        <f t="shared" si="105"/>
        <v>603285.40999999992</v>
      </c>
      <c r="I502" s="1769">
        <f t="shared" si="102"/>
        <v>0.94597392354250931</v>
      </c>
    </row>
    <row r="503" spans="1:9" ht="16.5" customHeight="1">
      <c r="A503" s="1614"/>
      <c r="B503" s="1737"/>
      <c r="C503" s="4985" t="s">
        <v>762</v>
      </c>
      <c r="D503" s="4985"/>
      <c r="E503" s="1926">
        <f>SUM(E504:E508)</f>
        <v>281756</v>
      </c>
      <c r="F503" s="1926">
        <f>SUM(F504:F508)</f>
        <v>410340</v>
      </c>
      <c r="G503" s="1800">
        <f t="shared" ref="G503:H503" si="106">SUM(G504:G508)</f>
        <v>425740</v>
      </c>
      <c r="H503" s="1928">
        <f t="shared" si="106"/>
        <v>412726.98999999993</v>
      </c>
      <c r="I503" s="1783">
        <f t="shared" si="102"/>
        <v>0.96943437309155811</v>
      </c>
    </row>
    <row r="504" spans="1:9" ht="16.5" customHeight="1">
      <c r="A504" s="1614"/>
      <c r="B504" s="1737"/>
      <c r="C504" s="2065" t="s">
        <v>61</v>
      </c>
      <c r="D504" s="2066" t="s">
        <v>763</v>
      </c>
      <c r="E504" s="1923">
        <v>222230</v>
      </c>
      <c r="F504" s="1923">
        <v>321759</v>
      </c>
      <c r="G504" s="2067">
        <v>331482</v>
      </c>
      <c r="H504" s="1925">
        <v>324063.96999999997</v>
      </c>
      <c r="I504" s="1769">
        <f t="shared" si="102"/>
        <v>0.97762162048014667</v>
      </c>
    </row>
    <row r="505" spans="1:9" ht="16.5" customHeight="1">
      <c r="A505" s="1614"/>
      <c r="B505" s="1737"/>
      <c r="C505" s="2065" t="s">
        <v>315</v>
      </c>
      <c r="D505" s="2066" t="s">
        <v>764</v>
      </c>
      <c r="E505" s="1923">
        <v>15733</v>
      </c>
      <c r="F505" s="1923">
        <v>23517</v>
      </c>
      <c r="G505" s="2067">
        <v>23776</v>
      </c>
      <c r="H505" s="1925">
        <v>23775.51</v>
      </c>
      <c r="I505" s="1769">
        <f t="shared" si="102"/>
        <v>0.99997939098250332</v>
      </c>
    </row>
    <row r="506" spans="1:9" ht="16.5" customHeight="1">
      <c r="A506" s="1614"/>
      <c r="B506" s="1737"/>
      <c r="C506" s="2065" t="s">
        <v>62</v>
      </c>
      <c r="D506" s="2066" t="s">
        <v>765</v>
      </c>
      <c r="E506" s="1923">
        <v>38383</v>
      </c>
      <c r="F506" s="1923">
        <v>56947</v>
      </c>
      <c r="G506" s="2067">
        <v>59847</v>
      </c>
      <c r="H506" s="1925">
        <v>58088.72</v>
      </c>
      <c r="I506" s="1769">
        <f t="shared" si="102"/>
        <v>0.97062041539258448</v>
      </c>
    </row>
    <row r="507" spans="1:9" ht="27.75" customHeight="1">
      <c r="A507" s="1614"/>
      <c r="B507" s="1737"/>
      <c r="C507" s="2068" t="s">
        <v>63</v>
      </c>
      <c r="D507" s="2069" t="s">
        <v>766</v>
      </c>
      <c r="E507" s="1923">
        <v>5410</v>
      </c>
      <c r="F507" s="1923">
        <v>8117</v>
      </c>
      <c r="G507" s="2067">
        <v>8417</v>
      </c>
      <c r="H507" s="1925">
        <v>4581.66</v>
      </c>
      <c r="I507" s="1769">
        <f t="shared" si="102"/>
        <v>0.54433408577878106</v>
      </c>
    </row>
    <row r="508" spans="1:9" ht="16.5" customHeight="1">
      <c r="A508" s="1614"/>
      <c r="B508" s="1737"/>
      <c r="C508" s="2068" t="s">
        <v>335</v>
      </c>
      <c r="D508" s="2069" t="s">
        <v>768</v>
      </c>
      <c r="E508" s="1923"/>
      <c r="F508" s="1923">
        <v>0</v>
      </c>
      <c r="G508" s="2067">
        <v>2218</v>
      </c>
      <c r="H508" s="1925">
        <v>2217.13</v>
      </c>
      <c r="I508" s="1769">
        <f t="shared" si="102"/>
        <v>0.99960775473399466</v>
      </c>
    </row>
    <row r="509" spans="1:9" ht="16.5" customHeight="1">
      <c r="A509" s="1614"/>
      <c r="B509" s="1737"/>
      <c r="C509" s="4986"/>
      <c r="D509" s="4987"/>
      <c r="E509" s="1971"/>
      <c r="F509" s="1971"/>
      <c r="G509" s="2067"/>
      <c r="H509" s="1925"/>
      <c r="I509" s="1769"/>
    </row>
    <row r="510" spans="1:9" ht="16.5" customHeight="1">
      <c r="A510" s="1614"/>
      <c r="B510" s="1737"/>
      <c r="C510" s="4678" t="s">
        <v>769</v>
      </c>
      <c r="D510" s="4912"/>
      <c r="E510" s="2070">
        <f>SUM(E511:E517)</f>
        <v>24764</v>
      </c>
      <c r="F510" s="2071">
        <f>SUM(F511:F517)</f>
        <v>220000</v>
      </c>
      <c r="G510" s="2072">
        <f t="shared" ref="G510:H510" si="107">SUM(G511:G517)</f>
        <v>212000</v>
      </c>
      <c r="H510" s="2073">
        <f t="shared" si="107"/>
        <v>190558.42</v>
      </c>
      <c r="I510" s="1783">
        <f t="shared" si="102"/>
        <v>0.89886047169811323</v>
      </c>
    </row>
    <row r="511" spans="1:9" ht="27.75" hidden="1" customHeight="1">
      <c r="A511" s="1614"/>
      <c r="B511" s="1737"/>
      <c r="C511" s="2074" t="s">
        <v>332</v>
      </c>
      <c r="D511" s="2075" t="s">
        <v>770</v>
      </c>
      <c r="E511" s="2076">
        <v>4764</v>
      </c>
      <c r="F511" s="2076">
        <v>0</v>
      </c>
      <c r="G511" s="2050">
        <v>0</v>
      </c>
      <c r="H511" s="1925">
        <v>0</v>
      </c>
      <c r="I511" s="1769" t="e">
        <f t="shared" si="102"/>
        <v>#DIV/0!</v>
      </c>
    </row>
    <row r="512" spans="1:9" ht="14.25" customHeight="1">
      <c r="A512" s="1614"/>
      <c r="B512" s="1737"/>
      <c r="C512" s="2077" t="s">
        <v>23</v>
      </c>
      <c r="D512" s="2078" t="s">
        <v>776</v>
      </c>
      <c r="E512" s="2079">
        <v>20000</v>
      </c>
      <c r="F512" s="2079">
        <v>20000</v>
      </c>
      <c r="G512" s="2050">
        <v>22000</v>
      </c>
      <c r="H512" s="1925">
        <v>558.41999999999996</v>
      </c>
      <c r="I512" s="1769">
        <f t="shared" si="102"/>
        <v>2.5382727272727272E-2</v>
      </c>
    </row>
    <row r="513" spans="1:9" ht="14.25" customHeight="1">
      <c r="A513" s="1614"/>
      <c r="B513" s="1737"/>
      <c r="C513" s="2077" t="s">
        <v>327</v>
      </c>
      <c r="D513" s="2078" t="s">
        <v>778</v>
      </c>
      <c r="E513" s="2079"/>
      <c r="F513" s="2079">
        <v>200000</v>
      </c>
      <c r="G513" s="2050">
        <v>190000</v>
      </c>
      <c r="H513" s="1925">
        <v>190000</v>
      </c>
      <c r="I513" s="1769">
        <f t="shared" si="102"/>
        <v>1</v>
      </c>
    </row>
    <row r="514" spans="1:9" ht="16.5" hidden="1" customHeight="1">
      <c r="A514" s="1614"/>
      <c r="B514" s="2080"/>
      <c r="C514" s="2081" t="s">
        <v>319</v>
      </c>
      <c r="D514" s="2082" t="s">
        <v>783</v>
      </c>
      <c r="E514" s="2083">
        <v>0</v>
      </c>
      <c r="F514" s="2083">
        <v>0</v>
      </c>
      <c r="G514" s="2067">
        <v>0</v>
      </c>
      <c r="H514" s="1925">
        <v>0</v>
      </c>
      <c r="I514" s="1769"/>
    </row>
    <row r="515" spans="1:9" ht="17.25" hidden="1" customHeight="1">
      <c r="A515" s="1614"/>
      <c r="B515" s="2080"/>
      <c r="C515" s="2084" t="s">
        <v>884</v>
      </c>
      <c r="D515" s="2069" t="s">
        <v>885</v>
      </c>
      <c r="E515" s="2083"/>
      <c r="F515" s="2083">
        <v>0</v>
      </c>
      <c r="G515" s="2067"/>
      <c r="H515" s="1925"/>
      <c r="I515" s="1769" t="e">
        <f t="shared" si="102"/>
        <v>#DIV/0!</v>
      </c>
    </row>
    <row r="516" spans="1:9" ht="28.5" hidden="1" customHeight="1">
      <c r="A516" s="1614"/>
      <c r="B516" s="2080"/>
      <c r="C516" s="2085" t="s">
        <v>886</v>
      </c>
      <c r="D516" s="2069" t="s">
        <v>887</v>
      </c>
      <c r="E516" s="2083"/>
      <c r="F516" s="2083">
        <v>0</v>
      </c>
      <c r="G516" s="2067"/>
      <c r="H516" s="1925"/>
      <c r="I516" s="1769" t="e">
        <f t="shared" si="102"/>
        <v>#DIV/0!</v>
      </c>
    </row>
    <row r="517" spans="1:9" ht="21" hidden="1" customHeight="1">
      <c r="A517" s="1614"/>
      <c r="B517" s="2080"/>
      <c r="C517" s="2085" t="s">
        <v>848</v>
      </c>
      <c r="D517" s="2069" t="s">
        <v>849</v>
      </c>
      <c r="E517" s="2083"/>
      <c r="F517" s="2083">
        <v>0</v>
      </c>
      <c r="G517" s="2067"/>
      <c r="H517" s="1925"/>
      <c r="I517" s="1769" t="e">
        <f t="shared" si="102"/>
        <v>#DIV/0!</v>
      </c>
    </row>
    <row r="518" spans="1:9" ht="14.25" customHeight="1">
      <c r="A518" s="1614"/>
      <c r="B518" s="2080"/>
      <c r="C518" s="2086"/>
      <c r="D518" s="2087"/>
      <c r="E518" s="2083"/>
      <c r="F518" s="2083"/>
      <c r="G518" s="2067"/>
      <c r="H518" s="1925"/>
      <c r="I518" s="1769"/>
    </row>
    <row r="519" spans="1:9" ht="15">
      <c r="A519" s="1614"/>
      <c r="B519" s="2080"/>
      <c r="C519" s="4965" t="s">
        <v>838</v>
      </c>
      <c r="D519" s="4965"/>
      <c r="E519" s="1971">
        <f>E520</f>
        <v>20000</v>
      </c>
      <c r="F519" s="1971">
        <f t="shared" ref="F519:H519" si="108">F520</f>
        <v>0</v>
      </c>
      <c r="G519" s="2088">
        <f t="shared" si="108"/>
        <v>8000</v>
      </c>
      <c r="H519" s="1973">
        <f t="shared" si="108"/>
        <v>8000</v>
      </c>
      <c r="I519" s="1769">
        <f t="shared" si="102"/>
        <v>1</v>
      </c>
    </row>
    <row r="520" spans="1:9" ht="41.25" customHeight="1">
      <c r="A520" s="1614"/>
      <c r="B520" s="2080"/>
      <c r="C520" s="2065" t="s">
        <v>83</v>
      </c>
      <c r="D520" s="2066" t="s">
        <v>922</v>
      </c>
      <c r="E520" s="2083">
        <v>20000</v>
      </c>
      <c r="F520" s="2083">
        <v>0</v>
      </c>
      <c r="G520" s="2067">
        <v>8000</v>
      </c>
      <c r="H520" s="1925">
        <v>8000</v>
      </c>
      <c r="I520" s="1769">
        <f t="shared" si="102"/>
        <v>1</v>
      </c>
    </row>
    <row r="521" spans="1:9" ht="15">
      <c r="A521" s="1614"/>
      <c r="B521" s="2080"/>
      <c r="C521" s="2089"/>
      <c r="D521" s="1905"/>
      <c r="E521" s="1971"/>
      <c r="F521" s="1971"/>
      <c r="G521" s="2067"/>
      <c r="H521" s="1925"/>
      <c r="I521" s="1769"/>
    </row>
    <row r="522" spans="1:9" ht="26.25" customHeight="1">
      <c r="A522" s="1614"/>
      <c r="B522" s="2080"/>
      <c r="C522" s="4978" t="s">
        <v>803</v>
      </c>
      <c r="D522" s="4978"/>
      <c r="E522" s="1995">
        <f>SUM(E523:E539)</f>
        <v>0</v>
      </c>
      <c r="F522" s="1995">
        <f>SUM(F523:F539)</f>
        <v>2048500</v>
      </c>
      <c r="G522" s="2090">
        <f>SUM(G523:G539)</f>
        <v>2048500</v>
      </c>
      <c r="H522" s="2091">
        <f t="shared" ref="H522" si="109">SUM(H523:H539)</f>
        <v>0</v>
      </c>
      <c r="I522" s="1769">
        <f t="shared" si="102"/>
        <v>0</v>
      </c>
    </row>
    <row r="523" spans="1:9" ht="51.75" customHeight="1">
      <c r="A523" s="1614"/>
      <c r="B523" s="2080"/>
      <c r="C523" s="2092" t="s">
        <v>923</v>
      </c>
      <c r="D523" s="2093" t="s">
        <v>877</v>
      </c>
      <c r="E523" s="2083">
        <v>0</v>
      </c>
      <c r="F523" s="2083">
        <v>1690053</v>
      </c>
      <c r="G523" s="2067">
        <v>1690053</v>
      </c>
      <c r="H523" s="1925">
        <v>0</v>
      </c>
      <c r="I523" s="1769">
        <f t="shared" si="102"/>
        <v>0</v>
      </c>
    </row>
    <row r="524" spans="1:9" ht="20.25" customHeight="1">
      <c r="A524" s="1614"/>
      <c r="B524" s="2080"/>
      <c r="C524" s="2094" t="s">
        <v>924</v>
      </c>
      <c r="D524" s="1875" t="s">
        <v>763</v>
      </c>
      <c r="E524" s="2083">
        <v>0</v>
      </c>
      <c r="F524" s="2083">
        <v>71046</v>
      </c>
      <c r="G524" s="2067">
        <f>71046</f>
        <v>71046</v>
      </c>
      <c r="H524" s="1925">
        <v>0</v>
      </c>
      <c r="I524" s="1769">
        <f t="shared" si="102"/>
        <v>0</v>
      </c>
    </row>
    <row r="525" spans="1:9" ht="20.25" customHeight="1" thickBot="1">
      <c r="A525" s="1644"/>
      <c r="B525" s="2095"/>
      <c r="C525" s="1965" t="s">
        <v>925</v>
      </c>
      <c r="D525" s="1966" t="s">
        <v>763</v>
      </c>
      <c r="E525" s="2096">
        <v>0</v>
      </c>
      <c r="F525" s="2096">
        <v>12538</v>
      </c>
      <c r="G525" s="1921">
        <f>12538</f>
        <v>12538</v>
      </c>
      <c r="H525" s="1747">
        <v>0</v>
      </c>
      <c r="I525" s="1651">
        <f t="shared" si="102"/>
        <v>0</v>
      </c>
    </row>
    <row r="526" spans="1:9" ht="18.75" customHeight="1">
      <c r="A526" s="4979"/>
      <c r="B526" s="4980"/>
      <c r="C526" s="2097" t="s">
        <v>926</v>
      </c>
      <c r="D526" s="2098" t="s">
        <v>765</v>
      </c>
      <c r="E526" s="2099">
        <v>0</v>
      </c>
      <c r="F526" s="2099">
        <v>12213</v>
      </c>
      <c r="G526" s="1856">
        <f>12213</f>
        <v>12213</v>
      </c>
      <c r="H526" s="1657">
        <v>0</v>
      </c>
      <c r="I526" s="1658">
        <f t="shared" si="102"/>
        <v>0</v>
      </c>
    </row>
    <row r="527" spans="1:9" ht="20.25" customHeight="1">
      <c r="A527" s="4716"/>
      <c r="B527" s="4981"/>
      <c r="C527" s="1959" t="s">
        <v>927</v>
      </c>
      <c r="D527" s="1875" t="s">
        <v>765</v>
      </c>
      <c r="E527" s="2070">
        <v>0</v>
      </c>
      <c r="F527" s="2070">
        <v>2155</v>
      </c>
      <c r="G527" s="1662">
        <f>2155</f>
        <v>2155</v>
      </c>
      <c r="H527" s="1663">
        <v>0</v>
      </c>
      <c r="I527" s="1769">
        <f t="shared" si="102"/>
        <v>0</v>
      </c>
    </row>
    <row r="528" spans="1:9" ht="27.75" customHeight="1">
      <c r="A528" s="1638"/>
      <c r="B528" s="1737"/>
      <c r="C528" s="1959" t="s">
        <v>928</v>
      </c>
      <c r="D528" s="1875" t="s">
        <v>766</v>
      </c>
      <c r="E528" s="1995">
        <v>0</v>
      </c>
      <c r="F528" s="1995">
        <v>1741</v>
      </c>
      <c r="G528" s="1662">
        <f>1741</f>
        <v>1741</v>
      </c>
      <c r="H528" s="1663">
        <v>0</v>
      </c>
      <c r="I528" s="1769">
        <f t="shared" si="102"/>
        <v>0</v>
      </c>
    </row>
    <row r="529" spans="1:9" ht="27" customHeight="1">
      <c r="A529" s="1614"/>
      <c r="B529" s="2080"/>
      <c r="C529" s="2100" t="s">
        <v>929</v>
      </c>
      <c r="D529" s="2101" t="s">
        <v>766</v>
      </c>
      <c r="E529" s="1971">
        <v>0</v>
      </c>
      <c r="F529" s="1971">
        <v>307</v>
      </c>
      <c r="G529" s="2067">
        <f>307</f>
        <v>307</v>
      </c>
      <c r="H529" s="1925">
        <v>0</v>
      </c>
      <c r="I529" s="2102">
        <f t="shared" si="102"/>
        <v>0</v>
      </c>
    </row>
    <row r="530" spans="1:9" ht="18" customHeight="1">
      <c r="A530" s="1614"/>
      <c r="B530" s="2080"/>
      <c r="C530" s="2100" t="s">
        <v>930</v>
      </c>
      <c r="D530" s="2101" t="s">
        <v>771</v>
      </c>
      <c r="E530" s="2083">
        <v>0</v>
      </c>
      <c r="F530" s="2083">
        <v>20013</v>
      </c>
      <c r="G530" s="2067">
        <f>20013</f>
        <v>20013</v>
      </c>
      <c r="H530" s="1925">
        <v>0</v>
      </c>
      <c r="I530" s="1769">
        <f t="shared" si="102"/>
        <v>0</v>
      </c>
    </row>
    <row r="531" spans="1:9" ht="18" customHeight="1">
      <c r="A531" s="1614"/>
      <c r="B531" s="2080"/>
      <c r="C531" s="2100" t="s">
        <v>931</v>
      </c>
      <c r="D531" s="2101" t="s">
        <v>771</v>
      </c>
      <c r="E531" s="2083">
        <v>0</v>
      </c>
      <c r="F531" s="2083">
        <v>3532</v>
      </c>
      <c r="G531" s="2067">
        <f>3532</f>
        <v>3532</v>
      </c>
      <c r="H531" s="1925">
        <v>0</v>
      </c>
      <c r="I531" s="1769">
        <f t="shared" si="102"/>
        <v>0</v>
      </c>
    </row>
    <row r="532" spans="1:9" ht="18" customHeight="1">
      <c r="A532" s="1614"/>
      <c r="B532" s="2080"/>
      <c r="C532" s="1959" t="s">
        <v>932</v>
      </c>
      <c r="D532" s="2101" t="s">
        <v>776</v>
      </c>
      <c r="E532" s="2083">
        <v>0</v>
      </c>
      <c r="F532" s="2083">
        <v>177925</v>
      </c>
      <c r="G532" s="2067">
        <f>177925</f>
        <v>177925</v>
      </c>
      <c r="H532" s="1925">
        <v>0</v>
      </c>
      <c r="I532" s="1769">
        <f t="shared" si="102"/>
        <v>0</v>
      </c>
    </row>
    <row r="533" spans="1:9" ht="18" customHeight="1">
      <c r="A533" s="1614"/>
      <c r="B533" s="2080"/>
      <c r="C533" s="1959" t="s">
        <v>933</v>
      </c>
      <c r="D533" s="2101" t="s">
        <v>776</v>
      </c>
      <c r="E533" s="2083">
        <v>0</v>
      </c>
      <c r="F533" s="2083">
        <v>31399</v>
      </c>
      <c r="G533" s="2067">
        <f>31399</f>
        <v>31399</v>
      </c>
      <c r="H533" s="1925">
        <v>0</v>
      </c>
      <c r="I533" s="1769">
        <f t="shared" si="102"/>
        <v>0</v>
      </c>
    </row>
    <row r="534" spans="1:9" ht="18" customHeight="1">
      <c r="A534" s="1614"/>
      <c r="B534" s="2080"/>
      <c r="C534" s="1959" t="s">
        <v>934</v>
      </c>
      <c r="D534" s="2101" t="s">
        <v>917</v>
      </c>
      <c r="E534" s="2083"/>
      <c r="F534" s="2083">
        <v>1218</v>
      </c>
      <c r="G534" s="2067">
        <f>1218</f>
        <v>1218</v>
      </c>
      <c r="H534" s="1925">
        <v>0</v>
      </c>
      <c r="I534" s="1769">
        <f t="shared" si="102"/>
        <v>0</v>
      </c>
    </row>
    <row r="535" spans="1:9" ht="18" customHeight="1">
      <c r="A535" s="1614"/>
      <c r="B535" s="2080"/>
      <c r="C535" s="1959" t="s">
        <v>935</v>
      </c>
      <c r="D535" s="2101" t="s">
        <v>917</v>
      </c>
      <c r="E535" s="2083"/>
      <c r="F535" s="2083">
        <v>215</v>
      </c>
      <c r="G535" s="2067">
        <f>215</f>
        <v>215</v>
      </c>
      <c r="H535" s="1925">
        <v>0</v>
      </c>
      <c r="I535" s="1769">
        <f t="shared" si="102"/>
        <v>0</v>
      </c>
    </row>
    <row r="536" spans="1:9" ht="18.75" customHeight="1">
      <c r="A536" s="1614"/>
      <c r="B536" s="2080"/>
      <c r="C536" s="1959" t="s">
        <v>936</v>
      </c>
      <c r="D536" s="2101" t="s">
        <v>781</v>
      </c>
      <c r="E536" s="2083">
        <v>0</v>
      </c>
      <c r="F536" s="1971">
        <v>5483</v>
      </c>
      <c r="G536" s="2067">
        <f>5483</f>
        <v>5483</v>
      </c>
      <c r="H536" s="1925">
        <v>0</v>
      </c>
      <c r="I536" s="1769">
        <f t="shared" si="102"/>
        <v>0</v>
      </c>
    </row>
    <row r="537" spans="1:9" ht="20.25" customHeight="1">
      <c r="A537" s="1614"/>
      <c r="B537" s="2080"/>
      <c r="C537" s="1959" t="s">
        <v>937</v>
      </c>
      <c r="D537" s="2101" t="s">
        <v>781</v>
      </c>
      <c r="E537" s="2083">
        <v>0</v>
      </c>
      <c r="F537" s="2083">
        <v>967</v>
      </c>
      <c r="G537" s="2067">
        <f>967</f>
        <v>967</v>
      </c>
      <c r="H537" s="1925">
        <v>0</v>
      </c>
      <c r="I537" s="1769">
        <f t="shared" si="102"/>
        <v>0</v>
      </c>
    </row>
    <row r="538" spans="1:9" ht="19.5" customHeight="1">
      <c r="A538" s="1614"/>
      <c r="B538" s="2080"/>
      <c r="C538" s="1959" t="s">
        <v>938</v>
      </c>
      <c r="D538" s="2101" t="s">
        <v>900</v>
      </c>
      <c r="E538" s="2083">
        <v>0</v>
      </c>
      <c r="F538" s="2083">
        <v>15041</v>
      </c>
      <c r="G538" s="2067">
        <f>15041</f>
        <v>15041</v>
      </c>
      <c r="H538" s="1925">
        <v>0</v>
      </c>
      <c r="I538" s="1769">
        <f t="shared" si="102"/>
        <v>0</v>
      </c>
    </row>
    <row r="539" spans="1:9" ht="17.25" customHeight="1">
      <c r="A539" s="1614"/>
      <c r="B539" s="2080"/>
      <c r="C539" s="1959" t="s">
        <v>939</v>
      </c>
      <c r="D539" s="2101" t="s">
        <v>900</v>
      </c>
      <c r="E539" s="2083">
        <v>0</v>
      </c>
      <c r="F539" s="2083">
        <v>2654</v>
      </c>
      <c r="G539" s="2067">
        <f>2654</f>
        <v>2654</v>
      </c>
      <c r="H539" s="1925">
        <v>0</v>
      </c>
      <c r="I539" s="1769">
        <f t="shared" si="102"/>
        <v>0</v>
      </c>
    </row>
    <row r="540" spans="1:9" ht="15.75" customHeight="1">
      <c r="A540" s="1614"/>
      <c r="B540" s="2080"/>
      <c r="C540" s="2012"/>
      <c r="D540" s="2103"/>
      <c r="E540" s="2083"/>
      <c r="F540" s="2083"/>
      <c r="G540" s="2067"/>
      <c r="H540" s="1925"/>
      <c r="I540" s="1769"/>
    </row>
    <row r="541" spans="1:9" ht="15">
      <c r="A541" s="1614"/>
      <c r="B541" s="2080"/>
      <c r="C541" s="4976" t="s">
        <v>793</v>
      </c>
      <c r="D541" s="4977"/>
      <c r="E541" s="2104">
        <f>E542</f>
        <v>10000</v>
      </c>
      <c r="F541" s="2104">
        <f t="shared" ref="F541" si="110">F542</f>
        <v>400045</v>
      </c>
      <c r="G541" s="2105">
        <f>G542</f>
        <v>232733</v>
      </c>
      <c r="H541" s="2106">
        <f>H542</f>
        <v>226068.6</v>
      </c>
      <c r="I541" s="1780">
        <f t="shared" si="102"/>
        <v>0.97136461094902748</v>
      </c>
    </row>
    <row r="542" spans="1:9" ht="15">
      <c r="A542" s="1614"/>
      <c r="B542" s="2080"/>
      <c r="C542" s="4874" t="s">
        <v>908</v>
      </c>
      <c r="D542" s="4608"/>
      <c r="E542" s="2083">
        <f>E543</f>
        <v>10000</v>
      </c>
      <c r="F542" s="2083">
        <f>SUM(F543:F544)</f>
        <v>400045</v>
      </c>
      <c r="G542" s="2083">
        <f>SUM(G543:G544)</f>
        <v>232733</v>
      </c>
      <c r="H542" s="2107">
        <f>SUM(H543:H544)</f>
        <v>226068.6</v>
      </c>
      <c r="I542" s="1769">
        <f t="shared" si="102"/>
        <v>0.97136461094902748</v>
      </c>
    </row>
    <row r="543" spans="1:9" ht="66" customHeight="1">
      <c r="A543" s="1614"/>
      <c r="B543" s="2080"/>
      <c r="C543" s="2108" t="s">
        <v>873</v>
      </c>
      <c r="D543" s="2109" t="s">
        <v>874</v>
      </c>
      <c r="E543" s="1971">
        <v>10000</v>
      </c>
      <c r="F543" s="1971">
        <v>400045</v>
      </c>
      <c r="G543" s="2067">
        <v>220733</v>
      </c>
      <c r="H543" s="1925">
        <v>214068.6</v>
      </c>
      <c r="I543" s="1769">
        <f t="shared" si="102"/>
        <v>0.96980786742353886</v>
      </c>
    </row>
    <row r="544" spans="1:9" ht="42" customHeight="1" thickBot="1">
      <c r="A544" s="1644"/>
      <c r="B544" s="1645"/>
      <c r="C544" s="2110" t="s">
        <v>88</v>
      </c>
      <c r="D544" s="2111" t="s">
        <v>909</v>
      </c>
      <c r="E544" s="1814"/>
      <c r="F544" s="1814">
        <v>0</v>
      </c>
      <c r="G544" s="1967">
        <v>12000</v>
      </c>
      <c r="H544" s="1815">
        <v>12000</v>
      </c>
      <c r="I544" s="1651">
        <f t="shared" si="102"/>
        <v>1</v>
      </c>
    </row>
    <row r="545" spans="1:9" ht="17.100000000000001" customHeight="1" thickBot="1">
      <c r="A545" s="1819" t="s">
        <v>134</v>
      </c>
      <c r="B545" s="2112"/>
      <c r="C545" s="2113"/>
      <c r="D545" s="2114" t="s">
        <v>940</v>
      </c>
      <c r="E545" s="2115">
        <f>E546+E569</f>
        <v>1889543</v>
      </c>
      <c r="F545" s="2115">
        <f t="shared" ref="F545:H545" si="111">F546+F569</f>
        <v>956901</v>
      </c>
      <c r="G545" s="2116">
        <f t="shared" si="111"/>
        <v>2558895</v>
      </c>
      <c r="H545" s="2117">
        <f t="shared" si="111"/>
        <v>2221236.88</v>
      </c>
      <c r="I545" s="1826">
        <f t="shared" si="102"/>
        <v>0.86804533988303545</v>
      </c>
    </row>
    <row r="546" spans="1:9" ht="17.100000000000001" customHeight="1" thickBot="1">
      <c r="A546" s="1614"/>
      <c r="B546" s="1726" t="s">
        <v>136</v>
      </c>
      <c r="C546" s="1727"/>
      <c r="D546" s="1728" t="s">
        <v>137</v>
      </c>
      <c r="E546" s="1729">
        <f>E547+E564</f>
        <v>1553846</v>
      </c>
      <c r="F546" s="1729">
        <f t="shared" ref="F546:H546" si="112">F547+F564</f>
        <v>840178</v>
      </c>
      <c r="G546" s="1730">
        <f t="shared" si="112"/>
        <v>2233938</v>
      </c>
      <c r="H546" s="1731">
        <f t="shared" si="112"/>
        <v>1897443.54</v>
      </c>
      <c r="I546" s="1732">
        <f t="shared" si="102"/>
        <v>0.84937162087757134</v>
      </c>
    </row>
    <row r="547" spans="1:9" ht="17.100000000000001" customHeight="1">
      <c r="A547" s="1614"/>
      <c r="B547" s="1684"/>
      <c r="C547" s="4871" t="s">
        <v>760</v>
      </c>
      <c r="D547" s="4871"/>
      <c r="E547" s="1615">
        <f>E548+E561</f>
        <v>633132</v>
      </c>
      <c r="F547" s="1615">
        <f t="shared" ref="F547:H547" si="113">F548+F561</f>
        <v>485400</v>
      </c>
      <c r="G547" s="1616">
        <f t="shared" si="113"/>
        <v>611295</v>
      </c>
      <c r="H547" s="1617">
        <f t="shared" si="113"/>
        <v>355430.65</v>
      </c>
      <c r="I547" s="1780">
        <f t="shared" si="102"/>
        <v>0.58143883067913205</v>
      </c>
    </row>
    <row r="548" spans="1:9" ht="17.100000000000001" customHeight="1">
      <c r="A548" s="1614"/>
      <c r="B548" s="1684"/>
      <c r="C548" s="4963" t="s">
        <v>761</v>
      </c>
      <c r="D548" s="4963"/>
      <c r="E548" s="1923">
        <f>E550</f>
        <v>564000</v>
      </c>
      <c r="F548" s="1923">
        <f t="shared" ref="F548:H548" si="114">F550</f>
        <v>485400</v>
      </c>
      <c r="G548" s="2118">
        <f t="shared" si="114"/>
        <v>451400</v>
      </c>
      <c r="H548" s="1925">
        <f t="shared" si="114"/>
        <v>197134.65</v>
      </c>
      <c r="I548" s="1769">
        <f t="shared" si="102"/>
        <v>0.43671832077979617</v>
      </c>
    </row>
    <row r="549" spans="1:9" ht="17.100000000000001" customHeight="1">
      <c r="A549" s="4716"/>
      <c r="B549" s="4687"/>
      <c r="C549" s="2119"/>
      <c r="D549" s="2119"/>
      <c r="E549" s="1923"/>
      <c r="F549" s="1923"/>
      <c r="G549" s="2067"/>
      <c r="H549" s="1925"/>
      <c r="I549" s="1769"/>
    </row>
    <row r="550" spans="1:9" ht="17.100000000000001" customHeight="1">
      <c r="A550" s="4716"/>
      <c r="B550" s="4687"/>
      <c r="C550" s="4912" t="s">
        <v>769</v>
      </c>
      <c r="D550" s="4912"/>
      <c r="E550" s="1942">
        <f>SUM(E551:E559)</f>
        <v>564000</v>
      </c>
      <c r="F550" s="1942">
        <f>SUM(F551:F559)</f>
        <v>485400</v>
      </c>
      <c r="G550" s="1943">
        <f t="shared" ref="G550:H550" si="115">SUM(G551:G559)</f>
        <v>451400</v>
      </c>
      <c r="H550" s="1944">
        <f t="shared" si="115"/>
        <v>197134.65</v>
      </c>
      <c r="I550" s="1783">
        <f t="shared" si="102"/>
        <v>0.43671832077979617</v>
      </c>
    </row>
    <row r="551" spans="1:9" ht="17.100000000000001" customHeight="1">
      <c r="A551" s="1614"/>
      <c r="B551" s="1627"/>
      <c r="C551" s="2120" t="s">
        <v>22</v>
      </c>
      <c r="D551" s="2121" t="s">
        <v>771</v>
      </c>
      <c r="E551" s="1923">
        <v>10000</v>
      </c>
      <c r="F551" s="1923">
        <v>10000</v>
      </c>
      <c r="G551" s="2067">
        <v>10000</v>
      </c>
      <c r="H551" s="1925">
        <v>0</v>
      </c>
      <c r="I551" s="1769">
        <f t="shared" si="102"/>
        <v>0</v>
      </c>
    </row>
    <row r="552" spans="1:9" ht="17.100000000000001" customHeight="1">
      <c r="A552" s="1614"/>
      <c r="B552" s="1627"/>
      <c r="C552" s="1659" t="s">
        <v>316</v>
      </c>
      <c r="D552" s="1660" t="s">
        <v>773</v>
      </c>
      <c r="E552" s="1661">
        <v>60000</v>
      </c>
      <c r="F552" s="1661">
        <v>50000</v>
      </c>
      <c r="G552" s="1662">
        <v>50000</v>
      </c>
      <c r="H552" s="1663">
        <v>8686.4699999999993</v>
      </c>
      <c r="I552" s="1769">
        <f t="shared" si="102"/>
        <v>0.17372939999999998</v>
      </c>
    </row>
    <row r="553" spans="1:9" ht="17.100000000000001" customHeight="1">
      <c r="A553" s="1614"/>
      <c r="B553" s="1627"/>
      <c r="C553" s="2065" t="s">
        <v>87</v>
      </c>
      <c r="D553" s="2066" t="s">
        <v>774</v>
      </c>
      <c r="E553" s="1923">
        <v>50000</v>
      </c>
      <c r="F553" s="1923">
        <v>20000</v>
      </c>
      <c r="G553" s="2067">
        <v>95000</v>
      </c>
      <c r="H553" s="1925">
        <v>8232.5400000000009</v>
      </c>
      <c r="I553" s="1769">
        <f t="shared" si="102"/>
        <v>8.6658315789473694E-2</v>
      </c>
    </row>
    <row r="554" spans="1:9" ht="17.100000000000001" customHeight="1">
      <c r="A554" s="1614"/>
      <c r="B554" s="1627"/>
      <c r="C554" s="2120" t="s">
        <v>23</v>
      </c>
      <c r="D554" s="2121" t="s">
        <v>776</v>
      </c>
      <c r="E554" s="1923">
        <v>285000</v>
      </c>
      <c r="F554" s="1923">
        <v>264361</v>
      </c>
      <c r="G554" s="2067">
        <v>155361</v>
      </c>
      <c r="H554" s="1925">
        <v>87436.72</v>
      </c>
      <c r="I554" s="1769">
        <f t="shared" si="102"/>
        <v>0.56279709837089098</v>
      </c>
    </row>
    <row r="555" spans="1:9" ht="17.100000000000001" hidden="1" customHeight="1">
      <c r="A555" s="1614"/>
      <c r="B555" s="1627"/>
      <c r="C555" s="1659" t="s">
        <v>333</v>
      </c>
      <c r="D555" s="1660" t="s">
        <v>782</v>
      </c>
      <c r="E555" s="1661">
        <v>7000</v>
      </c>
      <c r="F555" s="1661"/>
      <c r="G555" s="1662"/>
      <c r="H555" s="1663"/>
      <c r="I555" s="1769" t="e">
        <f t="shared" si="102"/>
        <v>#DIV/0!</v>
      </c>
    </row>
    <row r="556" spans="1:9" ht="17.100000000000001" customHeight="1">
      <c r="A556" s="1614"/>
      <c r="B556" s="1627"/>
      <c r="C556" s="2065" t="s">
        <v>320</v>
      </c>
      <c r="D556" s="2066" t="s">
        <v>784</v>
      </c>
      <c r="E556" s="1923">
        <v>110000</v>
      </c>
      <c r="F556" s="1923">
        <v>100000</v>
      </c>
      <c r="G556" s="2067">
        <v>100000</v>
      </c>
      <c r="H556" s="1925">
        <v>71882</v>
      </c>
      <c r="I556" s="1769">
        <f t="shared" si="102"/>
        <v>0.71882000000000001</v>
      </c>
    </row>
    <row r="557" spans="1:9" ht="17.100000000000001" customHeight="1">
      <c r="A557" s="1614"/>
      <c r="B557" s="1627"/>
      <c r="C557" s="2065" t="s">
        <v>334</v>
      </c>
      <c r="D557" s="2066" t="s">
        <v>787</v>
      </c>
      <c r="E557" s="1923">
        <v>2000</v>
      </c>
      <c r="F557" s="1923">
        <v>1039</v>
      </c>
      <c r="G557" s="2067">
        <v>1039</v>
      </c>
      <c r="H557" s="1925">
        <v>1038.52</v>
      </c>
      <c r="I557" s="1769">
        <f t="shared" si="102"/>
        <v>0.99953801732435033</v>
      </c>
    </row>
    <row r="558" spans="1:9" hidden="1">
      <c r="A558" s="1614"/>
      <c r="B558" s="1627"/>
      <c r="C558" s="2065" t="s">
        <v>322</v>
      </c>
      <c r="D558" s="2066" t="s">
        <v>847</v>
      </c>
      <c r="E558" s="1923"/>
      <c r="F558" s="1923">
        <v>0</v>
      </c>
      <c r="G558" s="2067">
        <v>0</v>
      </c>
      <c r="H558" s="1925">
        <v>0</v>
      </c>
      <c r="I558" s="1769" t="e">
        <f t="shared" si="102"/>
        <v>#DIV/0!</v>
      </c>
    </row>
    <row r="559" spans="1:9" ht="17.100000000000001" customHeight="1">
      <c r="A559" s="1614"/>
      <c r="B559" s="1627"/>
      <c r="C559" s="2065" t="s">
        <v>848</v>
      </c>
      <c r="D559" s="2066" t="s">
        <v>849</v>
      </c>
      <c r="E559" s="1923">
        <v>40000</v>
      </c>
      <c r="F559" s="1923">
        <v>40000</v>
      </c>
      <c r="G559" s="2067">
        <v>40000</v>
      </c>
      <c r="H559" s="1925">
        <v>19858.400000000001</v>
      </c>
      <c r="I559" s="1769">
        <f t="shared" si="102"/>
        <v>0.49646000000000001</v>
      </c>
    </row>
    <row r="560" spans="1:9" ht="17.100000000000001" customHeight="1">
      <c r="A560" s="1614"/>
      <c r="B560" s="1627"/>
      <c r="C560" s="2000"/>
      <c r="D560" s="2122"/>
      <c r="E560" s="1668"/>
      <c r="F560" s="1923"/>
      <c r="G560" s="2067"/>
      <c r="H560" s="1925"/>
      <c r="I560" s="1769"/>
    </row>
    <row r="561" spans="1:9">
      <c r="A561" s="1614"/>
      <c r="B561" s="1627"/>
      <c r="C561" s="4965" t="s">
        <v>838</v>
      </c>
      <c r="D561" s="4965"/>
      <c r="E561" s="2123">
        <f>E562</f>
        <v>69132</v>
      </c>
      <c r="F561" s="2123">
        <f t="shared" ref="F561:H561" si="116">F562</f>
        <v>0</v>
      </c>
      <c r="G561" s="2123">
        <f t="shared" si="116"/>
        <v>159895</v>
      </c>
      <c r="H561" s="2124">
        <f t="shared" si="116"/>
        <v>158296</v>
      </c>
      <c r="I561" s="1769">
        <f t="shared" ref="I561:I624" si="117">H561/G561</f>
        <v>0.98999968729478716</v>
      </c>
    </row>
    <row r="562" spans="1:9" ht="38.25">
      <c r="A562" s="1614"/>
      <c r="B562" s="1627"/>
      <c r="C562" s="2065" t="s">
        <v>86</v>
      </c>
      <c r="D562" s="2066" t="s">
        <v>941</v>
      </c>
      <c r="E562" s="1923">
        <v>69132</v>
      </c>
      <c r="F562" s="1923">
        <v>0</v>
      </c>
      <c r="G562" s="2067">
        <v>159895</v>
      </c>
      <c r="H562" s="1925">
        <v>158296</v>
      </c>
      <c r="I562" s="1769">
        <f t="shared" si="117"/>
        <v>0.98999968729478716</v>
      </c>
    </row>
    <row r="563" spans="1:9">
      <c r="A563" s="1614"/>
      <c r="B563" s="1627"/>
      <c r="C563" s="2012"/>
      <c r="D563" s="1905"/>
      <c r="E563" s="1923"/>
      <c r="F563" s="1923"/>
      <c r="G563" s="2067"/>
      <c r="H563" s="1925"/>
      <c r="I563" s="1769"/>
    </row>
    <row r="564" spans="1:9" ht="17.100000000000001" customHeight="1">
      <c r="A564" s="1614"/>
      <c r="B564" s="1627"/>
      <c r="C564" s="4976" t="s">
        <v>793</v>
      </c>
      <c r="D564" s="4977"/>
      <c r="E564" s="2125">
        <f>E565</f>
        <v>920714</v>
      </c>
      <c r="F564" s="2125">
        <f t="shared" ref="F564:H564" si="118">F565</f>
        <v>354778</v>
      </c>
      <c r="G564" s="2126">
        <f t="shared" si="118"/>
        <v>1622643</v>
      </c>
      <c r="H564" s="2127">
        <f t="shared" si="118"/>
        <v>1542012.89</v>
      </c>
      <c r="I564" s="1780">
        <f t="shared" si="117"/>
        <v>0.95030939645997292</v>
      </c>
    </row>
    <row r="565" spans="1:9" ht="15" customHeight="1">
      <c r="A565" s="1614"/>
      <c r="B565" s="1627"/>
      <c r="C565" s="4874" t="s">
        <v>908</v>
      </c>
      <c r="D565" s="4874"/>
      <c r="E565" s="2123">
        <f>E566+E568+E567</f>
        <v>920714</v>
      </c>
      <c r="F565" s="2123">
        <f>F566+F568+F567</f>
        <v>354778</v>
      </c>
      <c r="G565" s="2128">
        <f t="shared" ref="G565:H565" si="119">G566+G568+G567</f>
        <v>1622643</v>
      </c>
      <c r="H565" s="2124">
        <f t="shared" si="119"/>
        <v>1542012.89</v>
      </c>
      <c r="I565" s="1769">
        <f t="shared" si="117"/>
        <v>0.95030939645997292</v>
      </c>
    </row>
    <row r="566" spans="1:9" ht="24" customHeight="1">
      <c r="A566" s="1614"/>
      <c r="B566" s="1627"/>
      <c r="C566" s="2065" t="s">
        <v>24</v>
      </c>
      <c r="D566" s="2066" t="s">
        <v>842</v>
      </c>
      <c r="E566" s="1923">
        <v>316000</v>
      </c>
      <c r="F566" s="1923">
        <v>0</v>
      </c>
      <c r="G566" s="2067">
        <v>574000</v>
      </c>
      <c r="H566" s="1925">
        <v>572249.19999999995</v>
      </c>
      <c r="I566" s="1769">
        <f t="shared" si="117"/>
        <v>0.99694982578397207</v>
      </c>
    </row>
    <row r="567" spans="1:9" ht="66.75" customHeight="1">
      <c r="A567" s="1614"/>
      <c r="B567" s="1627"/>
      <c r="C567" s="2129" t="s">
        <v>873</v>
      </c>
      <c r="D567" s="2130" t="s">
        <v>874</v>
      </c>
      <c r="E567" s="2123">
        <v>295000</v>
      </c>
      <c r="F567" s="2123">
        <v>354778</v>
      </c>
      <c r="G567" s="2067">
        <v>940643</v>
      </c>
      <c r="H567" s="1925">
        <v>861764.69</v>
      </c>
      <c r="I567" s="1769">
        <f t="shared" si="117"/>
        <v>0.91614426514628822</v>
      </c>
    </row>
    <row r="568" spans="1:9" ht="48" customHeight="1" thickBot="1">
      <c r="A568" s="1645"/>
      <c r="B568" s="1645"/>
      <c r="C568" s="2131" t="s">
        <v>88</v>
      </c>
      <c r="D568" s="2132" t="s">
        <v>909</v>
      </c>
      <c r="E568" s="1678">
        <f>79714+30000+200000</f>
        <v>309714</v>
      </c>
      <c r="F568" s="1678">
        <v>0</v>
      </c>
      <c r="G568" s="1921">
        <v>108000</v>
      </c>
      <c r="H568" s="1747">
        <v>107999</v>
      </c>
      <c r="I568" s="1651">
        <f t="shared" si="117"/>
        <v>0.99999074074074079</v>
      </c>
    </row>
    <row r="569" spans="1:9" ht="15" customHeight="1" thickBot="1">
      <c r="A569" s="2018"/>
      <c r="B569" s="1794" t="s">
        <v>138</v>
      </c>
      <c r="C569" s="1795"/>
      <c r="D569" s="1796" t="s">
        <v>95</v>
      </c>
      <c r="E569" s="1797">
        <f>E570+E574</f>
        <v>335697</v>
      </c>
      <c r="F569" s="1797">
        <f>F570+F574</f>
        <v>116723</v>
      </c>
      <c r="G569" s="1934">
        <f t="shared" ref="G569:H569" si="120">G570+G574</f>
        <v>324957</v>
      </c>
      <c r="H569" s="1935">
        <f t="shared" si="120"/>
        <v>323793.33999999997</v>
      </c>
      <c r="I569" s="1936">
        <f t="shared" si="117"/>
        <v>0.99641903390294706</v>
      </c>
    </row>
    <row r="570" spans="1:9" ht="14.25" customHeight="1">
      <c r="A570" s="1614"/>
      <c r="B570" s="1894"/>
      <c r="C570" s="4871" t="s">
        <v>760</v>
      </c>
      <c r="D570" s="4871"/>
      <c r="E570" s="1615">
        <f>E571</f>
        <v>10000</v>
      </c>
      <c r="F570" s="1615">
        <f>F571</f>
        <v>0</v>
      </c>
      <c r="G570" s="1616">
        <f t="shared" ref="G570:H571" si="121">G571</f>
        <v>27000</v>
      </c>
      <c r="H570" s="1617">
        <f t="shared" si="121"/>
        <v>26521</v>
      </c>
      <c r="I570" s="2133">
        <f t="shared" si="117"/>
        <v>0.98225925925925928</v>
      </c>
    </row>
    <row r="571" spans="1:9">
      <c r="A571" s="1614"/>
      <c r="B571" s="1894"/>
      <c r="C571" s="4965" t="s">
        <v>838</v>
      </c>
      <c r="D571" s="4965"/>
      <c r="E571" s="2123">
        <f>E572</f>
        <v>10000</v>
      </c>
      <c r="F571" s="2123">
        <f>F572</f>
        <v>0</v>
      </c>
      <c r="G571" s="2128">
        <f t="shared" si="121"/>
        <v>27000</v>
      </c>
      <c r="H571" s="2124">
        <f t="shared" si="121"/>
        <v>26521</v>
      </c>
      <c r="I571" s="2035">
        <f t="shared" si="117"/>
        <v>0.98225925925925928</v>
      </c>
    </row>
    <row r="572" spans="1:9" ht="38.25">
      <c r="A572" s="1614"/>
      <c r="B572" s="1894"/>
      <c r="C572" s="2065" t="s">
        <v>86</v>
      </c>
      <c r="D572" s="2066" t="s">
        <v>941</v>
      </c>
      <c r="E572" s="1923">
        <v>10000</v>
      </c>
      <c r="F572" s="1923">
        <v>0</v>
      </c>
      <c r="G572" s="2118">
        <v>27000</v>
      </c>
      <c r="H572" s="1925">
        <v>26521</v>
      </c>
      <c r="I572" s="2035">
        <f t="shared" si="117"/>
        <v>0.98225925925925928</v>
      </c>
    </row>
    <row r="573" spans="1:9">
      <c r="A573" s="1614"/>
      <c r="B573" s="1894"/>
      <c r="C573" s="2000"/>
      <c r="D573" s="2122"/>
      <c r="E573" s="1923"/>
      <c r="F573" s="1923"/>
      <c r="G573" s="2118"/>
      <c r="H573" s="1925"/>
      <c r="I573" s="2035"/>
    </row>
    <row r="574" spans="1:9" ht="13.5" customHeight="1">
      <c r="A574" s="4716"/>
      <c r="B574" s="4716"/>
      <c r="C574" s="4976" t="s">
        <v>793</v>
      </c>
      <c r="D574" s="4977"/>
      <c r="E574" s="1661">
        <f>E575</f>
        <v>325697</v>
      </c>
      <c r="F574" s="1615">
        <f t="shared" ref="F574:H574" si="122">F575</f>
        <v>116723</v>
      </c>
      <c r="G574" s="1616">
        <f t="shared" si="122"/>
        <v>297957</v>
      </c>
      <c r="H574" s="1617">
        <f t="shared" si="122"/>
        <v>297272.33999999997</v>
      </c>
      <c r="I574" s="1672">
        <f t="shared" si="117"/>
        <v>0.99770215165275511</v>
      </c>
    </row>
    <row r="575" spans="1:9" ht="16.5" customHeight="1">
      <c r="A575" s="4716"/>
      <c r="B575" s="4716"/>
      <c r="C575" s="4874" t="s">
        <v>908</v>
      </c>
      <c r="D575" s="4874"/>
      <c r="E575" s="1668">
        <f>E576+E577</f>
        <v>325697</v>
      </c>
      <c r="F575" s="1668">
        <f>F576+F577</f>
        <v>116723</v>
      </c>
      <c r="G575" s="2134">
        <f t="shared" ref="G575:H575" si="123">G576+G577</f>
        <v>297957</v>
      </c>
      <c r="H575" s="1818">
        <f t="shared" si="123"/>
        <v>297272.33999999997</v>
      </c>
      <c r="I575" s="1769">
        <f t="shared" si="117"/>
        <v>0.99770215165275511</v>
      </c>
    </row>
    <row r="576" spans="1:9" ht="64.5" customHeight="1">
      <c r="A576" s="1614"/>
      <c r="B576" s="1627"/>
      <c r="C576" s="2135" t="s">
        <v>873</v>
      </c>
      <c r="D576" s="2122" t="s">
        <v>874</v>
      </c>
      <c r="E576" s="2123">
        <v>296247</v>
      </c>
      <c r="F576" s="2123">
        <v>116723</v>
      </c>
      <c r="G576" s="2067">
        <v>261957</v>
      </c>
      <c r="H576" s="1925">
        <v>261956.34</v>
      </c>
      <c r="I576" s="1769">
        <f t="shared" si="117"/>
        <v>0.99999748050252524</v>
      </c>
    </row>
    <row r="577" spans="1:9" ht="49.5" customHeight="1" thickBot="1">
      <c r="A577" s="1644"/>
      <c r="B577" s="1645"/>
      <c r="C577" s="2131" t="s">
        <v>88</v>
      </c>
      <c r="D577" s="2132" t="s">
        <v>909</v>
      </c>
      <c r="E577" s="1678">
        <v>29450</v>
      </c>
      <c r="F577" s="1678">
        <v>0</v>
      </c>
      <c r="G577" s="1921">
        <v>36000</v>
      </c>
      <c r="H577" s="1747">
        <v>35316</v>
      </c>
      <c r="I577" s="1651">
        <f t="shared" si="117"/>
        <v>0.98099999999999998</v>
      </c>
    </row>
    <row r="578" spans="1:9" ht="17.100000000000001" customHeight="1" thickBot="1">
      <c r="A578" s="1819" t="s">
        <v>189</v>
      </c>
      <c r="B578" s="1820"/>
      <c r="C578" s="1821"/>
      <c r="D578" s="1822" t="s">
        <v>942</v>
      </c>
      <c r="E578" s="1823">
        <f>SUM(E579,E615,E654)</f>
        <v>39071538</v>
      </c>
      <c r="F578" s="1823">
        <f>SUM(F579,F615,F654)</f>
        <v>32044140</v>
      </c>
      <c r="G578" s="1824">
        <f>SUM(G579,G615,G654)</f>
        <v>30693580</v>
      </c>
      <c r="H578" s="1825">
        <f>SUM(H579,H615,H654)</f>
        <v>28329274.939999998</v>
      </c>
      <c r="I578" s="1826">
        <f t="shared" si="117"/>
        <v>0.92297069745529836</v>
      </c>
    </row>
    <row r="579" spans="1:9" ht="17.100000000000001" customHeight="1" thickBot="1">
      <c r="A579" s="1614"/>
      <c r="B579" s="1726" t="s">
        <v>943</v>
      </c>
      <c r="C579" s="1727"/>
      <c r="D579" s="1728" t="s">
        <v>487</v>
      </c>
      <c r="E579" s="1729">
        <f>E580+E612</f>
        <v>4198010</v>
      </c>
      <c r="F579" s="1729">
        <f>F580+F612</f>
        <v>3862700</v>
      </c>
      <c r="G579" s="1730">
        <f>G580+G612</f>
        <v>3965710</v>
      </c>
      <c r="H579" s="1731">
        <f t="shared" ref="H579" si="124">H580+H612</f>
        <v>3636219.9899999993</v>
      </c>
      <c r="I579" s="1732">
        <f t="shared" si="117"/>
        <v>0.91691525351072045</v>
      </c>
    </row>
    <row r="580" spans="1:9" ht="17.100000000000001" customHeight="1">
      <c r="A580" s="1614"/>
      <c r="B580" s="1627"/>
      <c r="C580" s="4871" t="s">
        <v>760</v>
      </c>
      <c r="D580" s="4871"/>
      <c r="E580" s="1615">
        <f>E581+E609</f>
        <v>4198010</v>
      </c>
      <c r="F580" s="1615">
        <f>F581+F609</f>
        <v>3862700</v>
      </c>
      <c r="G580" s="1616">
        <f t="shared" ref="G580:H580" si="125">G581+G609</f>
        <v>3965710</v>
      </c>
      <c r="H580" s="1617">
        <f t="shared" si="125"/>
        <v>3636219.9899999993</v>
      </c>
      <c r="I580" s="1780">
        <f t="shared" si="117"/>
        <v>0.91691525351072045</v>
      </c>
    </row>
    <row r="581" spans="1:9" ht="17.100000000000001" customHeight="1">
      <c r="A581" s="1614"/>
      <c r="B581" s="1627"/>
      <c r="C581" s="4963" t="s">
        <v>761</v>
      </c>
      <c r="D581" s="4963"/>
      <c r="E581" s="1923">
        <f>E582+E590</f>
        <v>4193010</v>
      </c>
      <c r="F581" s="1923">
        <f>F582+F590</f>
        <v>3854600</v>
      </c>
      <c r="G581" s="2118">
        <f t="shared" ref="G581:H581" si="126">G582+G590</f>
        <v>3957610</v>
      </c>
      <c r="H581" s="1925">
        <f t="shared" si="126"/>
        <v>3634558.1299999994</v>
      </c>
      <c r="I581" s="1769">
        <f t="shared" si="117"/>
        <v>0.91837197955331618</v>
      </c>
    </row>
    <row r="582" spans="1:9" ht="17.100000000000001" customHeight="1">
      <c r="A582" s="1614"/>
      <c r="B582" s="1627"/>
      <c r="C582" s="4971" t="s">
        <v>762</v>
      </c>
      <c r="D582" s="4971"/>
      <c r="E582" s="1926">
        <f>SUM(E583:E587)</f>
        <v>3645670</v>
      </c>
      <c r="F582" s="1926">
        <f>SUM(F583:F588)</f>
        <v>3307110</v>
      </c>
      <c r="G582" s="1926">
        <f t="shared" ref="G582:H582" si="127">SUM(G583:G588)</f>
        <v>3410120</v>
      </c>
      <c r="H582" s="1928">
        <f t="shared" si="127"/>
        <v>3185905.7499999995</v>
      </c>
      <c r="I582" s="1783">
        <f t="shared" si="117"/>
        <v>0.9342503342990861</v>
      </c>
    </row>
    <row r="583" spans="1:9" ht="17.100000000000001" customHeight="1">
      <c r="A583" s="1614"/>
      <c r="B583" s="1627"/>
      <c r="C583" s="2065" t="s">
        <v>61</v>
      </c>
      <c r="D583" s="2066" t="s">
        <v>763</v>
      </c>
      <c r="E583" s="1923">
        <v>2863740</v>
      </c>
      <c r="F583" s="1923">
        <v>2563440</v>
      </c>
      <c r="G583" s="2067">
        <v>2655050</v>
      </c>
      <c r="H583" s="1925">
        <v>2491777.36</v>
      </c>
      <c r="I583" s="1769">
        <f t="shared" si="117"/>
        <v>0.9385048718479877</v>
      </c>
    </row>
    <row r="584" spans="1:9" ht="17.100000000000001" customHeight="1">
      <c r="A584" s="1614"/>
      <c r="B584" s="1627"/>
      <c r="C584" s="2065" t="s">
        <v>315</v>
      </c>
      <c r="D584" s="2066" t="s">
        <v>764</v>
      </c>
      <c r="E584" s="1923">
        <v>222170</v>
      </c>
      <c r="F584" s="1923">
        <v>221970</v>
      </c>
      <c r="G584" s="2067">
        <v>221970</v>
      </c>
      <c r="H584" s="1925">
        <v>208422.11</v>
      </c>
      <c r="I584" s="1769">
        <f t="shared" si="117"/>
        <v>0.93896522052529618</v>
      </c>
    </row>
    <row r="585" spans="1:9" ht="17.100000000000001" customHeight="1">
      <c r="A585" s="1614"/>
      <c r="B585" s="1627"/>
      <c r="C585" s="2065" t="s">
        <v>62</v>
      </c>
      <c r="D585" s="2066" t="s">
        <v>765</v>
      </c>
      <c r="E585" s="1923">
        <v>495220</v>
      </c>
      <c r="F585" s="1923">
        <v>463310</v>
      </c>
      <c r="G585" s="2067">
        <v>463310</v>
      </c>
      <c r="H585" s="1925">
        <v>428287.48</v>
      </c>
      <c r="I585" s="1769">
        <f t="shared" si="117"/>
        <v>0.92440802054779736</v>
      </c>
    </row>
    <row r="586" spans="1:9" ht="26.25" customHeight="1">
      <c r="A586" s="1614"/>
      <c r="B586" s="1627"/>
      <c r="C586" s="2065" t="s">
        <v>63</v>
      </c>
      <c r="D586" s="2066" t="s">
        <v>766</v>
      </c>
      <c r="E586" s="1923">
        <v>44540</v>
      </c>
      <c r="F586" s="1923">
        <v>48390</v>
      </c>
      <c r="G586" s="2067">
        <v>48390</v>
      </c>
      <c r="H586" s="1925">
        <v>44451.03</v>
      </c>
      <c r="I586" s="1769">
        <f t="shared" si="117"/>
        <v>0.91859950402975821</v>
      </c>
    </row>
    <row r="587" spans="1:9" ht="17.100000000000001" customHeight="1">
      <c r="A587" s="1614"/>
      <c r="B587" s="1627"/>
      <c r="C587" s="2065" t="s">
        <v>324</v>
      </c>
      <c r="D587" s="2066" t="s">
        <v>767</v>
      </c>
      <c r="E587" s="1923">
        <v>20000</v>
      </c>
      <c r="F587" s="1923">
        <v>10000</v>
      </c>
      <c r="G587" s="2067">
        <v>10000</v>
      </c>
      <c r="H587" s="1925">
        <v>4320</v>
      </c>
      <c r="I587" s="1769">
        <f t="shared" si="117"/>
        <v>0.432</v>
      </c>
    </row>
    <row r="588" spans="1:9" ht="17.100000000000001" customHeight="1">
      <c r="A588" s="1614"/>
      <c r="B588" s="1627"/>
      <c r="C588" s="2012" t="s">
        <v>335</v>
      </c>
      <c r="D588" s="2136" t="s">
        <v>768</v>
      </c>
      <c r="E588" s="1661"/>
      <c r="F588" s="1661">
        <v>0</v>
      </c>
      <c r="G588" s="2067">
        <v>11400</v>
      </c>
      <c r="H588" s="1925">
        <v>8647.77</v>
      </c>
      <c r="I588" s="1769">
        <f t="shared" si="117"/>
        <v>0.75857631578947371</v>
      </c>
    </row>
    <row r="589" spans="1:9" ht="10.5" customHeight="1">
      <c r="A589" s="1614"/>
      <c r="B589" s="1627"/>
      <c r="C589" s="1688"/>
      <c r="D589" s="1688"/>
      <c r="E589" s="1638"/>
      <c r="F589" s="1638"/>
      <c r="G589" s="2067"/>
      <c r="H589" s="1925"/>
      <c r="I589" s="1769"/>
    </row>
    <row r="590" spans="1:9" ht="17.100000000000001" customHeight="1">
      <c r="A590" s="1614"/>
      <c r="B590" s="1627"/>
      <c r="C590" s="4973" t="s">
        <v>769</v>
      </c>
      <c r="D590" s="4973"/>
      <c r="E590" s="1926">
        <f>SUM(E591:E607)</f>
        <v>547340</v>
      </c>
      <c r="F590" s="1926">
        <f t="shared" ref="F590:H590" si="128">SUM(F591:F607)</f>
        <v>547490</v>
      </c>
      <c r="G590" s="2137">
        <f t="shared" si="128"/>
        <v>547490</v>
      </c>
      <c r="H590" s="1928">
        <f t="shared" si="128"/>
        <v>448652.38000000006</v>
      </c>
      <c r="I590" s="1783">
        <f t="shared" si="117"/>
        <v>0.81947136934007936</v>
      </c>
    </row>
    <row r="591" spans="1:9" ht="25.5" customHeight="1" thickBot="1">
      <c r="A591" s="1644"/>
      <c r="B591" s="1645"/>
      <c r="C591" s="2138" t="s">
        <v>332</v>
      </c>
      <c r="D591" s="2139" t="s">
        <v>770</v>
      </c>
      <c r="E591" s="1678">
        <v>6190</v>
      </c>
      <c r="F591" s="1678">
        <v>30430</v>
      </c>
      <c r="G591" s="1921">
        <v>30430</v>
      </c>
      <c r="H591" s="1747">
        <v>9829</v>
      </c>
      <c r="I591" s="1651">
        <f t="shared" si="117"/>
        <v>0.32300361485376272</v>
      </c>
    </row>
    <row r="592" spans="1:9" ht="17.100000000000001" customHeight="1">
      <c r="A592" s="1614"/>
      <c r="B592" s="1627"/>
      <c r="C592" s="1659" t="s">
        <v>22</v>
      </c>
      <c r="D592" s="1660" t="s">
        <v>771</v>
      </c>
      <c r="E592" s="1661">
        <v>85000</v>
      </c>
      <c r="F592" s="1661">
        <v>91030</v>
      </c>
      <c r="G592" s="1662">
        <v>91030</v>
      </c>
      <c r="H592" s="1663">
        <v>57458.47</v>
      </c>
      <c r="I592" s="1664">
        <f t="shared" si="117"/>
        <v>0.63120366912007031</v>
      </c>
    </row>
    <row r="593" spans="1:9" ht="17.100000000000001" hidden="1" customHeight="1">
      <c r="A593" s="1614"/>
      <c r="B593" s="1627"/>
      <c r="C593" s="2065" t="s">
        <v>326</v>
      </c>
      <c r="D593" s="2066" t="s">
        <v>944</v>
      </c>
      <c r="E593" s="1923">
        <v>1500</v>
      </c>
      <c r="F593" s="1923">
        <v>0</v>
      </c>
      <c r="G593" s="2067">
        <v>0</v>
      </c>
      <c r="H593" s="1925">
        <v>0</v>
      </c>
      <c r="I593" s="1769" t="e">
        <f t="shared" si="117"/>
        <v>#DIV/0!</v>
      </c>
    </row>
    <row r="594" spans="1:9" ht="17.100000000000001" customHeight="1">
      <c r="A594" s="1614"/>
      <c r="B594" s="1627"/>
      <c r="C594" s="2065" t="s">
        <v>329</v>
      </c>
      <c r="D594" s="2066" t="s">
        <v>945</v>
      </c>
      <c r="E594" s="1923">
        <v>1500</v>
      </c>
      <c r="F594" s="1923">
        <v>1500</v>
      </c>
      <c r="G594" s="2067">
        <v>1500</v>
      </c>
      <c r="H594" s="1925">
        <v>326.38</v>
      </c>
      <c r="I594" s="1769">
        <f t="shared" si="117"/>
        <v>0.21758666666666665</v>
      </c>
    </row>
    <row r="595" spans="1:9" ht="17.100000000000001" customHeight="1">
      <c r="A595" s="1614"/>
      <c r="B595" s="1627"/>
      <c r="C595" s="2065" t="s">
        <v>316</v>
      </c>
      <c r="D595" s="2066" t="s">
        <v>773</v>
      </c>
      <c r="E595" s="1923">
        <v>110000</v>
      </c>
      <c r="F595" s="1923">
        <v>119400</v>
      </c>
      <c r="G595" s="2067">
        <v>119400</v>
      </c>
      <c r="H595" s="1925">
        <v>118524.86</v>
      </c>
      <c r="I595" s="1769">
        <f t="shared" si="117"/>
        <v>0.99267051926298155</v>
      </c>
    </row>
    <row r="596" spans="1:9" ht="17.100000000000001" customHeight="1">
      <c r="A596" s="1614"/>
      <c r="B596" s="1627"/>
      <c r="C596" s="2065" t="s">
        <v>87</v>
      </c>
      <c r="D596" s="2066" t="s">
        <v>774</v>
      </c>
      <c r="E596" s="1923">
        <v>26020</v>
      </c>
      <c r="F596" s="1923">
        <v>18240</v>
      </c>
      <c r="G596" s="2067">
        <v>18240</v>
      </c>
      <c r="H596" s="1925">
        <v>14283.28</v>
      </c>
      <c r="I596" s="1769">
        <f t="shared" si="117"/>
        <v>0.78307456140350884</v>
      </c>
    </row>
    <row r="597" spans="1:9" ht="17.100000000000001" customHeight="1">
      <c r="A597" s="1614"/>
      <c r="B597" s="1627"/>
      <c r="C597" s="2065" t="s">
        <v>317</v>
      </c>
      <c r="D597" s="2066" t="s">
        <v>775</v>
      </c>
      <c r="E597" s="1923">
        <v>3740</v>
      </c>
      <c r="F597" s="1923">
        <v>7800</v>
      </c>
      <c r="G597" s="2067">
        <v>7800</v>
      </c>
      <c r="H597" s="1925">
        <v>569</v>
      </c>
      <c r="I597" s="1769">
        <f t="shared" si="117"/>
        <v>7.2948717948717948E-2</v>
      </c>
    </row>
    <row r="598" spans="1:9" ht="17.100000000000001" customHeight="1">
      <c r="A598" s="1614"/>
      <c r="B598" s="1627"/>
      <c r="C598" s="2065" t="s">
        <v>23</v>
      </c>
      <c r="D598" s="2066" t="s">
        <v>776</v>
      </c>
      <c r="E598" s="1923">
        <v>135400</v>
      </c>
      <c r="F598" s="1923">
        <v>137530</v>
      </c>
      <c r="G598" s="2067">
        <v>137530</v>
      </c>
      <c r="H598" s="1925">
        <v>128265.22</v>
      </c>
      <c r="I598" s="1769">
        <f t="shared" si="117"/>
        <v>0.93263447974987279</v>
      </c>
    </row>
    <row r="599" spans="1:9" ht="16.5" customHeight="1">
      <c r="A599" s="1638"/>
      <c r="B599" s="1638"/>
      <c r="C599" s="2108" t="s">
        <v>318</v>
      </c>
      <c r="D599" s="2121" t="s">
        <v>777</v>
      </c>
      <c r="E599" s="1923">
        <v>11700</v>
      </c>
      <c r="F599" s="1923">
        <v>12600</v>
      </c>
      <c r="G599" s="2067">
        <v>12600</v>
      </c>
      <c r="H599" s="1925">
        <v>8918.57</v>
      </c>
      <c r="I599" s="1769">
        <f t="shared" si="117"/>
        <v>0.70782301587301588</v>
      </c>
    </row>
    <row r="600" spans="1:9" ht="25.5" hidden="1" customHeight="1">
      <c r="A600" s="1638"/>
      <c r="B600" s="1638"/>
      <c r="C600" s="1659" t="s">
        <v>779</v>
      </c>
      <c r="D600" s="1660" t="s">
        <v>780</v>
      </c>
      <c r="E600" s="1661">
        <v>45900</v>
      </c>
      <c r="F600" s="1661"/>
      <c r="G600" s="1662"/>
      <c r="H600" s="1663"/>
      <c r="I600" s="1664" t="e">
        <f t="shared" si="117"/>
        <v>#DIV/0!</v>
      </c>
    </row>
    <row r="601" spans="1:9" ht="17.100000000000001" customHeight="1">
      <c r="A601" s="1638"/>
      <c r="B601" s="1638"/>
      <c r="C601" s="2065" t="s">
        <v>328</v>
      </c>
      <c r="D601" s="2066" t="s">
        <v>781</v>
      </c>
      <c r="E601" s="1923">
        <v>7000</v>
      </c>
      <c r="F601" s="1923">
        <v>7000</v>
      </c>
      <c r="G601" s="2067">
        <v>7000</v>
      </c>
      <c r="H601" s="1925">
        <v>0</v>
      </c>
      <c r="I601" s="1664">
        <f t="shared" si="117"/>
        <v>0</v>
      </c>
    </row>
    <row r="602" spans="1:9" ht="17.100000000000001" hidden="1" customHeight="1">
      <c r="A602" s="1614"/>
      <c r="B602" s="1627"/>
      <c r="C602" s="2065" t="s">
        <v>899</v>
      </c>
      <c r="D602" s="2066" t="s">
        <v>900</v>
      </c>
      <c r="E602" s="1923"/>
      <c r="F602" s="1923"/>
      <c r="G602" s="2067"/>
      <c r="H602" s="1925"/>
      <c r="I602" s="1664" t="e">
        <f t="shared" si="117"/>
        <v>#DIV/0!</v>
      </c>
    </row>
    <row r="603" spans="1:9" ht="17.100000000000001" customHeight="1">
      <c r="A603" s="1614"/>
      <c r="B603" s="1627"/>
      <c r="C603" s="2065" t="s">
        <v>333</v>
      </c>
      <c r="D603" s="2066" t="s">
        <v>782</v>
      </c>
      <c r="E603" s="1923">
        <v>5520</v>
      </c>
      <c r="F603" s="1923">
        <v>5700</v>
      </c>
      <c r="G603" s="2067">
        <v>5700</v>
      </c>
      <c r="H603" s="1925">
        <v>4847.25</v>
      </c>
      <c r="I603" s="1664">
        <f t="shared" si="117"/>
        <v>0.85039473684210531</v>
      </c>
    </row>
    <row r="604" spans="1:9" ht="17.100000000000001" customHeight="1">
      <c r="A604" s="1614"/>
      <c r="B604" s="1627"/>
      <c r="C604" s="2065" t="s">
        <v>319</v>
      </c>
      <c r="D604" s="2066" t="s">
        <v>783</v>
      </c>
      <c r="E604" s="1923">
        <v>76430</v>
      </c>
      <c r="F604" s="1923">
        <v>85520</v>
      </c>
      <c r="G604" s="2067">
        <v>85520</v>
      </c>
      <c r="H604" s="1925">
        <v>80774.009999999995</v>
      </c>
      <c r="I604" s="1664">
        <f t="shared" si="117"/>
        <v>0.94450432647333948</v>
      </c>
    </row>
    <row r="605" spans="1:9" ht="17.100000000000001" customHeight="1">
      <c r="A605" s="1614"/>
      <c r="B605" s="1627"/>
      <c r="C605" s="2065" t="s">
        <v>320</v>
      </c>
      <c r="D605" s="2066" t="s">
        <v>784</v>
      </c>
      <c r="E605" s="1923">
        <v>8200</v>
      </c>
      <c r="F605" s="1923">
        <v>8700</v>
      </c>
      <c r="G605" s="2067">
        <v>8700</v>
      </c>
      <c r="H605" s="1925">
        <v>8030</v>
      </c>
      <c r="I605" s="1664">
        <f t="shared" si="117"/>
        <v>0.92298850574712643</v>
      </c>
    </row>
    <row r="606" spans="1:9" ht="17.100000000000001" customHeight="1">
      <c r="A606" s="1614"/>
      <c r="B606" s="1627"/>
      <c r="C606" s="2065" t="s">
        <v>334</v>
      </c>
      <c r="D606" s="2066" t="s">
        <v>787</v>
      </c>
      <c r="E606" s="1923">
        <v>12240</v>
      </c>
      <c r="F606" s="1923">
        <v>11040</v>
      </c>
      <c r="G606" s="2067">
        <v>11040</v>
      </c>
      <c r="H606" s="1925">
        <v>11040</v>
      </c>
      <c r="I606" s="1664">
        <f t="shared" si="117"/>
        <v>1</v>
      </c>
    </row>
    <row r="607" spans="1:9" ht="26.25" customHeight="1">
      <c r="A607" s="1638"/>
      <c r="B607" s="1638"/>
      <c r="C607" s="2108" t="s">
        <v>64</v>
      </c>
      <c r="D607" s="2121" t="s">
        <v>790</v>
      </c>
      <c r="E607" s="1923">
        <v>11000</v>
      </c>
      <c r="F607" s="1923">
        <v>11000</v>
      </c>
      <c r="G607" s="2067">
        <v>11000</v>
      </c>
      <c r="H607" s="1925">
        <v>5786.34</v>
      </c>
      <c r="I607" s="1664">
        <f t="shared" si="117"/>
        <v>0.5260309090909091</v>
      </c>
    </row>
    <row r="608" spans="1:9" ht="17.100000000000001" customHeight="1">
      <c r="A608" s="1638"/>
      <c r="B608" s="1638"/>
      <c r="C608" s="1688"/>
      <c r="D608" s="1688"/>
      <c r="E608" s="1638"/>
      <c r="F608" s="1638"/>
      <c r="G608" s="1662"/>
      <c r="H608" s="1663"/>
      <c r="I608" s="1664"/>
    </row>
    <row r="609" spans="1:9" ht="17.100000000000001" customHeight="1">
      <c r="A609" s="1614"/>
      <c r="B609" s="1627"/>
      <c r="C609" s="4965" t="s">
        <v>791</v>
      </c>
      <c r="D609" s="4965"/>
      <c r="E609" s="1923">
        <f t="shared" ref="E609:H609" si="129">E610</f>
        <v>5000</v>
      </c>
      <c r="F609" s="1923">
        <f t="shared" si="129"/>
        <v>8100</v>
      </c>
      <c r="G609" s="2118">
        <f t="shared" si="129"/>
        <v>8100</v>
      </c>
      <c r="H609" s="1925">
        <f t="shared" si="129"/>
        <v>1661.86</v>
      </c>
      <c r="I609" s="1664">
        <f t="shared" si="117"/>
        <v>0.20516790123456788</v>
      </c>
    </row>
    <row r="610" spans="1:9" ht="18.75" customHeight="1" thickBot="1">
      <c r="A610" s="1614"/>
      <c r="B610" s="1627"/>
      <c r="C610" s="2129" t="s">
        <v>314</v>
      </c>
      <c r="D610" s="2130" t="s">
        <v>792</v>
      </c>
      <c r="E610" s="2123">
        <v>5000</v>
      </c>
      <c r="F610" s="2123">
        <v>8100</v>
      </c>
      <c r="G610" s="2067">
        <v>8100</v>
      </c>
      <c r="H610" s="1925">
        <v>1661.86</v>
      </c>
      <c r="I610" s="1664">
        <f t="shared" si="117"/>
        <v>0.20516790123456788</v>
      </c>
    </row>
    <row r="611" spans="1:9" ht="15.75" hidden="1" customHeight="1">
      <c r="A611" s="1614"/>
      <c r="B611" s="1627"/>
      <c r="C611" s="4974"/>
      <c r="D611" s="4975"/>
      <c r="E611" s="2140"/>
      <c r="F611" s="2140"/>
      <c r="G611" s="2067"/>
      <c r="H611" s="1925"/>
      <c r="I611" s="1664"/>
    </row>
    <row r="612" spans="1:9" ht="18" hidden="1" customHeight="1">
      <c r="A612" s="1614"/>
      <c r="B612" s="1627"/>
      <c r="C612" s="4968" t="s">
        <v>793</v>
      </c>
      <c r="D612" s="4969"/>
      <c r="E612" s="2141">
        <f>E613</f>
        <v>0</v>
      </c>
      <c r="F612" s="2141">
        <f t="shared" ref="F612" si="130">F613</f>
        <v>0</v>
      </c>
      <c r="G612" s="2142">
        <f>G613</f>
        <v>0</v>
      </c>
      <c r="H612" s="2127">
        <f>H613</f>
        <v>0</v>
      </c>
      <c r="I612" s="1672" t="e">
        <f t="shared" si="117"/>
        <v>#DIV/0!</v>
      </c>
    </row>
    <row r="613" spans="1:9" ht="16.5" hidden="1" customHeight="1">
      <c r="A613" s="1614"/>
      <c r="B613" s="1627"/>
      <c r="C613" s="4970" t="s">
        <v>903</v>
      </c>
      <c r="D613" s="4965"/>
      <c r="E613" s="2123">
        <f>SUM(E614:E614)</f>
        <v>0</v>
      </c>
      <c r="F613" s="2123">
        <f t="shared" ref="F613" si="131">SUM(F614:F614)</f>
        <v>0</v>
      </c>
      <c r="G613" s="2128">
        <f>G614</f>
        <v>0</v>
      </c>
      <c r="H613" s="1925">
        <f>H614</f>
        <v>0</v>
      </c>
      <c r="I613" s="1664" t="e">
        <f t="shared" si="117"/>
        <v>#DIV/0!</v>
      </c>
    </row>
    <row r="614" spans="1:9" ht="21" hidden="1" customHeight="1" thickBot="1">
      <c r="A614" s="1614"/>
      <c r="B614" s="1627"/>
      <c r="C614" s="2143" t="s">
        <v>89</v>
      </c>
      <c r="D614" s="2066" t="s">
        <v>795</v>
      </c>
      <c r="E614" s="2123">
        <v>0</v>
      </c>
      <c r="F614" s="2123">
        <v>0</v>
      </c>
      <c r="G614" s="2067">
        <v>0</v>
      </c>
      <c r="H614" s="1925">
        <v>0</v>
      </c>
      <c r="I614" s="1725" t="e">
        <f t="shared" si="117"/>
        <v>#DIV/0!</v>
      </c>
    </row>
    <row r="615" spans="1:9" ht="17.100000000000001" customHeight="1" thickBot="1">
      <c r="A615" s="1614"/>
      <c r="B615" s="1726" t="s">
        <v>268</v>
      </c>
      <c r="C615" s="1727"/>
      <c r="D615" s="1728" t="s">
        <v>490</v>
      </c>
      <c r="E615" s="1729">
        <f>E616</f>
        <v>34853528</v>
      </c>
      <c r="F615" s="1729">
        <f>F616+F651</f>
        <v>28181440</v>
      </c>
      <c r="G615" s="1730">
        <f>G616+G651</f>
        <v>26703870</v>
      </c>
      <c r="H615" s="2144">
        <f>H616+H651</f>
        <v>24669054.949999999</v>
      </c>
      <c r="I615" s="1732">
        <f t="shared" si="117"/>
        <v>0.9238007431132641</v>
      </c>
    </row>
    <row r="616" spans="1:9" ht="17.100000000000001" customHeight="1">
      <c r="A616" s="1614"/>
      <c r="B616" s="1627"/>
      <c r="C616" s="4871" t="s">
        <v>760</v>
      </c>
      <c r="D616" s="4871"/>
      <c r="E616" s="1615">
        <f>E617+E641+E644</f>
        <v>34853528</v>
      </c>
      <c r="F616" s="1615">
        <f t="shared" ref="F616:H616" si="132">F617+F641+F644</f>
        <v>28151440</v>
      </c>
      <c r="G616" s="1616">
        <f>G617+G641+G644</f>
        <v>26673870</v>
      </c>
      <c r="H616" s="1617">
        <f t="shared" si="132"/>
        <v>24639104.449999999</v>
      </c>
      <c r="I616" s="1780">
        <f t="shared" si="117"/>
        <v>0.92371689784796884</v>
      </c>
    </row>
    <row r="617" spans="1:9" ht="17.100000000000001" customHeight="1">
      <c r="A617" s="1614"/>
      <c r="B617" s="1627"/>
      <c r="C617" s="4963" t="s">
        <v>761</v>
      </c>
      <c r="D617" s="4963"/>
      <c r="E617" s="1923">
        <f>E618+E626</f>
        <v>1101262</v>
      </c>
      <c r="F617" s="1923">
        <f t="shared" ref="F617:H617" si="133">F618+F626</f>
        <v>1031570</v>
      </c>
      <c r="G617" s="2118">
        <f>G618+G626</f>
        <v>1048823</v>
      </c>
      <c r="H617" s="1925">
        <f t="shared" si="133"/>
        <v>942999.2</v>
      </c>
      <c r="I617" s="1769">
        <f t="shared" si="117"/>
        <v>0.89910232708474158</v>
      </c>
    </row>
    <row r="618" spans="1:9" ht="17.100000000000001" customHeight="1">
      <c r="A618" s="1614"/>
      <c r="B618" s="1627"/>
      <c r="C618" s="4971" t="s">
        <v>762</v>
      </c>
      <c r="D618" s="4971"/>
      <c r="E618" s="1926">
        <f>SUM(E619:E623)</f>
        <v>741856</v>
      </c>
      <c r="F618" s="1926">
        <f>SUM(F619:F624)</f>
        <v>720053</v>
      </c>
      <c r="G618" s="1926">
        <f>SUM(G619:G624)</f>
        <v>737306</v>
      </c>
      <c r="H618" s="1928">
        <f>SUM(H619:H624)</f>
        <v>715040.2</v>
      </c>
      <c r="I618" s="1783">
        <f t="shared" si="117"/>
        <v>0.9698011409102868</v>
      </c>
    </row>
    <row r="619" spans="1:9" ht="17.100000000000001" customHeight="1">
      <c r="A619" s="1614"/>
      <c r="B619" s="1627"/>
      <c r="C619" s="2065" t="s">
        <v>61</v>
      </c>
      <c r="D619" s="2066" t="s">
        <v>763</v>
      </c>
      <c r="E619" s="1923">
        <v>573181</v>
      </c>
      <c r="F619" s="1923">
        <v>545252</v>
      </c>
      <c r="G619" s="2067">
        <v>557502</v>
      </c>
      <c r="H619" s="1925">
        <v>543514.94999999995</v>
      </c>
      <c r="I619" s="1769">
        <f t="shared" si="117"/>
        <v>0.97491121108085699</v>
      </c>
    </row>
    <row r="620" spans="1:9" ht="17.100000000000001" customHeight="1">
      <c r="A620" s="1614"/>
      <c r="B620" s="1627"/>
      <c r="C620" s="2065" t="s">
        <v>315</v>
      </c>
      <c r="D620" s="2066" t="s">
        <v>764</v>
      </c>
      <c r="E620" s="1923">
        <v>33696</v>
      </c>
      <c r="F620" s="1923">
        <v>41155</v>
      </c>
      <c r="G620" s="2067">
        <v>39505</v>
      </c>
      <c r="H620" s="1925">
        <v>39497.32</v>
      </c>
      <c r="I620" s="1769">
        <f t="shared" si="117"/>
        <v>0.99980559422857862</v>
      </c>
    </row>
    <row r="621" spans="1:9" ht="17.100000000000001" customHeight="1">
      <c r="A621" s="1614"/>
      <c r="B621" s="1627"/>
      <c r="C621" s="2065" t="s">
        <v>62</v>
      </c>
      <c r="D621" s="2066" t="s">
        <v>765</v>
      </c>
      <c r="E621" s="1923">
        <v>103228</v>
      </c>
      <c r="F621" s="1923">
        <v>105143</v>
      </c>
      <c r="G621" s="2067">
        <v>106643</v>
      </c>
      <c r="H621" s="1925">
        <v>102642.23</v>
      </c>
      <c r="I621" s="1769">
        <f t="shared" si="117"/>
        <v>0.96248445748900535</v>
      </c>
    </row>
    <row r="622" spans="1:9" ht="27" customHeight="1">
      <c r="A622" s="1614"/>
      <c r="B622" s="1627"/>
      <c r="C622" s="2065" t="s">
        <v>63</v>
      </c>
      <c r="D622" s="2066" t="s">
        <v>766</v>
      </c>
      <c r="E622" s="1923">
        <v>13351</v>
      </c>
      <c r="F622" s="1923">
        <v>9903</v>
      </c>
      <c r="G622" s="2067">
        <v>8033</v>
      </c>
      <c r="H622" s="1925">
        <v>7589.42</v>
      </c>
      <c r="I622" s="1769">
        <f t="shared" si="117"/>
        <v>0.94478028133947467</v>
      </c>
    </row>
    <row r="623" spans="1:9" ht="17.100000000000001" customHeight="1">
      <c r="A623" s="1614"/>
      <c r="B623" s="1627"/>
      <c r="C623" s="2065" t="s">
        <v>324</v>
      </c>
      <c r="D623" s="2066" t="s">
        <v>767</v>
      </c>
      <c r="E623" s="1923">
        <v>18400</v>
      </c>
      <c r="F623" s="1923">
        <v>18600</v>
      </c>
      <c r="G623" s="2067">
        <v>18600</v>
      </c>
      <c r="H623" s="1925">
        <v>18540</v>
      </c>
      <c r="I623" s="1769">
        <f t="shared" si="117"/>
        <v>0.99677419354838714</v>
      </c>
    </row>
    <row r="624" spans="1:9" ht="17.100000000000001" customHeight="1">
      <c r="A624" s="1614"/>
      <c r="B624" s="1627"/>
      <c r="C624" s="2012" t="s">
        <v>335</v>
      </c>
      <c r="D624" s="2136" t="s">
        <v>768</v>
      </c>
      <c r="E624" s="1661"/>
      <c r="F624" s="1661">
        <v>0</v>
      </c>
      <c r="G624" s="2067">
        <v>7023</v>
      </c>
      <c r="H624" s="1925">
        <v>3256.28</v>
      </c>
      <c r="I624" s="1769">
        <f t="shared" si="117"/>
        <v>0.46365940481275814</v>
      </c>
    </row>
    <row r="625" spans="1:9" ht="17.100000000000001" customHeight="1">
      <c r="A625" s="1614"/>
      <c r="B625" s="1627"/>
      <c r="C625" s="1688"/>
      <c r="D625" s="1688"/>
      <c r="E625" s="1638"/>
      <c r="F625" s="1638"/>
      <c r="G625" s="2067"/>
      <c r="H625" s="1925"/>
      <c r="I625" s="1769"/>
    </row>
    <row r="626" spans="1:9" ht="17.100000000000001" customHeight="1" thickBot="1">
      <c r="A626" s="1644"/>
      <c r="B626" s="1645"/>
      <c r="C626" s="4972" t="s">
        <v>769</v>
      </c>
      <c r="D626" s="4972"/>
      <c r="E626" s="2145">
        <f>SUM(E627:E639)</f>
        <v>359406</v>
      </c>
      <c r="F626" s="2145">
        <f>SUM(F627:F639)</f>
        <v>311517</v>
      </c>
      <c r="G626" s="2146">
        <f>SUM(G627:G639)</f>
        <v>311517</v>
      </c>
      <c r="H626" s="2147">
        <f t="shared" ref="H626" si="134">SUM(H627:H639)</f>
        <v>227958.99999999997</v>
      </c>
      <c r="I626" s="2148">
        <f t="shared" ref="I626:I694" si="135">H626/G626</f>
        <v>0.73177065778111616</v>
      </c>
    </row>
    <row r="627" spans="1:9" ht="17.100000000000001" customHeight="1">
      <c r="A627" s="1614"/>
      <c r="B627" s="1627"/>
      <c r="C627" s="1659" t="s">
        <v>22</v>
      </c>
      <c r="D627" s="1660" t="s">
        <v>771</v>
      </c>
      <c r="E627" s="1661">
        <v>76340</v>
      </c>
      <c r="F627" s="1661">
        <v>32595</v>
      </c>
      <c r="G627" s="1662">
        <v>32595</v>
      </c>
      <c r="H627" s="1663">
        <v>32454.400000000001</v>
      </c>
      <c r="I627" s="1664">
        <f t="shared" si="135"/>
        <v>0.99568645497775732</v>
      </c>
    </row>
    <row r="628" spans="1:9" ht="17.100000000000001" customHeight="1">
      <c r="A628" s="1614"/>
      <c r="B628" s="1627"/>
      <c r="C628" s="2065" t="s">
        <v>326</v>
      </c>
      <c r="D628" s="2066" t="s">
        <v>772</v>
      </c>
      <c r="E628" s="1923">
        <v>500</v>
      </c>
      <c r="F628" s="1923">
        <v>500</v>
      </c>
      <c r="G628" s="2067">
        <v>500</v>
      </c>
      <c r="H628" s="1925">
        <v>0</v>
      </c>
      <c r="I628" s="1769">
        <f t="shared" si="135"/>
        <v>0</v>
      </c>
    </row>
    <row r="629" spans="1:9" ht="17.100000000000001" customHeight="1">
      <c r="A629" s="1614"/>
      <c r="B629" s="1627"/>
      <c r="C629" s="2065" t="s">
        <v>316</v>
      </c>
      <c r="D629" s="2066" t="s">
        <v>773</v>
      </c>
      <c r="E629" s="1923">
        <v>25400</v>
      </c>
      <c r="F629" s="1923">
        <v>32746</v>
      </c>
      <c r="G629" s="2067">
        <v>35746</v>
      </c>
      <c r="H629" s="1925">
        <v>32928.15</v>
      </c>
      <c r="I629" s="1769">
        <f t="shared" si="135"/>
        <v>0.92117020086163492</v>
      </c>
    </row>
    <row r="630" spans="1:9" ht="17.100000000000001" customHeight="1">
      <c r="A630" s="1627"/>
      <c r="B630" s="1627"/>
      <c r="C630" s="2108" t="s">
        <v>87</v>
      </c>
      <c r="D630" s="2121" t="s">
        <v>774</v>
      </c>
      <c r="E630" s="1923">
        <v>5060</v>
      </c>
      <c r="F630" s="1923">
        <v>9687</v>
      </c>
      <c r="G630" s="2067">
        <v>9687</v>
      </c>
      <c r="H630" s="1925">
        <v>3357.75</v>
      </c>
      <c r="I630" s="1769">
        <f t="shared" si="135"/>
        <v>0.34662434190151747</v>
      </c>
    </row>
    <row r="631" spans="1:9" ht="17.100000000000001" customHeight="1">
      <c r="A631" s="1614"/>
      <c r="B631" s="1627"/>
      <c r="C631" s="1659" t="s">
        <v>317</v>
      </c>
      <c r="D631" s="1660" t="s">
        <v>775</v>
      </c>
      <c r="E631" s="1661">
        <v>1100</v>
      </c>
      <c r="F631" s="1661">
        <v>1500</v>
      </c>
      <c r="G631" s="1662">
        <v>1500</v>
      </c>
      <c r="H631" s="1663">
        <v>379</v>
      </c>
      <c r="I631" s="1664">
        <f t="shared" si="135"/>
        <v>0.25266666666666665</v>
      </c>
    </row>
    <row r="632" spans="1:9" ht="17.100000000000001" customHeight="1">
      <c r="A632" s="1614"/>
      <c r="B632" s="1627"/>
      <c r="C632" s="2065" t="s">
        <v>23</v>
      </c>
      <c r="D632" s="2066" t="s">
        <v>776</v>
      </c>
      <c r="E632" s="1923">
        <v>193360</v>
      </c>
      <c r="F632" s="1923">
        <v>202611</v>
      </c>
      <c r="G632" s="2067">
        <v>189611</v>
      </c>
      <c r="H632" s="1925">
        <v>126838.87</v>
      </c>
      <c r="I632" s="1769">
        <f t="shared" si="135"/>
        <v>0.66894257189720008</v>
      </c>
    </row>
    <row r="633" spans="1:9" ht="16.5" customHeight="1">
      <c r="A633" s="1638"/>
      <c r="B633" s="1638"/>
      <c r="C633" s="2120" t="s">
        <v>318</v>
      </c>
      <c r="D633" s="2121" t="s">
        <v>946</v>
      </c>
      <c r="E633" s="1923">
        <v>7120</v>
      </c>
      <c r="F633" s="1923">
        <v>5500</v>
      </c>
      <c r="G633" s="2067">
        <v>5500</v>
      </c>
      <c r="H633" s="1925">
        <v>2253.5</v>
      </c>
      <c r="I633" s="1769">
        <f t="shared" si="135"/>
        <v>0.40972727272727272</v>
      </c>
    </row>
    <row r="634" spans="1:9" ht="26.25" hidden="1" customHeight="1">
      <c r="A634" s="1638"/>
      <c r="B634" s="1638"/>
      <c r="C634" s="1659" t="s">
        <v>779</v>
      </c>
      <c r="D634" s="1660" t="s">
        <v>780</v>
      </c>
      <c r="E634" s="1661">
        <v>30040</v>
      </c>
      <c r="F634" s="1661"/>
      <c r="G634" s="1662"/>
      <c r="H634" s="1663"/>
      <c r="I634" s="1664" t="e">
        <f t="shared" si="135"/>
        <v>#DIV/0!</v>
      </c>
    </row>
    <row r="635" spans="1:9" ht="17.100000000000001" customHeight="1">
      <c r="A635" s="1638"/>
      <c r="B635" s="1638"/>
      <c r="C635" s="2149" t="s">
        <v>328</v>
      </c>
      <c r="D635" s="2066" t="s">
        <v>781</v>
      </c>
      <c r="E635" s="1923">
        <v>3500</v>
      </c>
      <c r="F635" s="1923">
        <v>3500</v>
      </c>
      <c r="G635" s="2067">
        <v>3500</v>
      </c>
      <c r="H635" s="1925">
        <v>0</v>
      </c>
      <c r="I635" s="1664">
        <f t="shared" si="135"/>
        <v>0</v>
      </c>
    </row>
    <row r="636" spans="1:9" ht="17.100000000000001" customHeight="1">
      <c r="A636" s="1638"/>
      <c r="B636" s="1638"/>
      <c r="C636" s="2108" t="s">
        <v>333</v>
      </c>
      <c r="D636" s="2121" t="s">
        <v>782</v>
      </c>
      <c r="E636" s="1923">
        <v>1500</v>
      </c>
      <c r="F636" s="1923">
        <v>1800</v>
      </c>
      <c r="G636" s="2067">
        <v>1800</v>
      </c>
      <c r="H636" s="1925">
        <v>1413.37</v>
      </c>
      <c r="I636" s="1664">
        <f t="shared" si="135"/>
        <v>0.78520555555555549</v>
      </c>
    </row>
    <row r="637" spans="1:9" ht="17.100000000000001" customHeight="1">
      <c r="A637" s="1638"/>
      <c r="B637" s="1638"/>
      <c r="C637" s="1659" t="s">
        <v>319</v>
      </c>
      <c r="D637" s="1660" t="s">
        <v>783</v>
      </c>
      <c r="E637" s="1661">
        <v>9486</v>
      </c>
      <c r="F637" s="1661">
        <v>13178</v>
      </c>
      <c r="G637" s="1662">
        <v>13178</v>
      </c>
      <c r="H637" s="1663">
        <v>11626.96</v>
      </c>
      <c r="I637" s="1664">
        <f t="shared" si="135"/>
        <v>0.88230080437092118</v>
      </c>
    </row>
    <row r="638" spans="1:9" ht="17.100000000000001" customHeight="1">
      <c r="A638" s="1614"/>
      <c r="B638" s="1627"/>
      <c r="C638" s="2065" t="s">
        <v>320</v>
      </c>
      <c r="D638" s="2066" t="s">
        <v>784</v>
      </c>
      <c r="E638" s="1923">
        <v>0</v>
      </c>
      <c r="F638" s="1923">
        <v>1900</v>
      </c>
      <c r="G638" s="2067">
        <v>1900</v>
      </c>
      <c r="H638" s="1925">
        <v>1782</v>
      </c>
      <c r="I638" s="1664">
        <f t="shared" si="135"/>
        <v>0.93789473684210523</v>
      </c>
    </row>
    <row r="639" spans="1:9" ht="27" customHeight="1">
      <c r="A639" s="1614"/>
      <c r="B639" s="1627"/>
      <c r="C639" s="2065" t="s">
        <v>64</v>
      </c>
      <c r="D639" s="2066" t="s">
        <v>790</v>
      </c>
      <c r="E639" s="1923">
        <v>6000</v>
      </c>
      <c r="F639" s="1923">
        <v>6000</v>
      </c>
      <c r="G639" s="2067">
        <v>16000</v>
      </c>
      <c r="H639" s="1925">
        <v>14925</v>
      </c>
      <c r="I639" s="1664">
        <f t="shared" si="135"/>
        <v>0.93281250000000004</v>
      </c>
    </row>
    <row r="640" spans="1:9" ht="12" customHeight="1">
      <c r="A640" s="1614"/>
      <c r="B640" s="1627"/>
      <c r="C640" s="1688"/>
      <c r="D640" s="1688"/>
      <c r="E640" s="1638"/>
      <c r="F640" s="1638"/>
      <c r="G640" s="2067"/>
      <c r="H640" s="1925"/>
      <c r="I640" s="1664"/>
    </row>
    <row r="641" spans="1:9" ht="17.100000000000001" customHeight="1">
      <c r="A641" s="1614"/>
      <c r="B641" s="1627"/>
      <c r="C641" s="4962" t="s">
        <v>791</v>
      </c>
      <c r="D641" s="4962"/>
      <c r="E641" s="2123">
        <f>E642</f>
        <v>1540</v>
      </c>
      <c r="F641" s="2123">
        <f t="shared" ref="F641:H641" si="136">F642</f>
        <v>1200</v>
      </c>
      <c r="G641" s="2128">
        <f t="shared" si="136"/>
        <v>1200</v>
      </c>
      <c r="H641" s="2124">
        <f t="shared" si="136"/>
        <v>900</v>
      </c>
      <c r="I641" s="1664">
        <f t="shared" si="135"/>
        <v>0.75</v>
      </c>
    </row>
    <row r="642" spans="1:9" ht="17.100000000000001" customHeight="1">
      <c r="A642" s="1614"/>
      <c r="B642" s="1627"/>
      <c r="C642" s="2060" t="s">
        <v>314</v>
      </c>
      <c r="D642" s="2109" t="s">
        <v>792</v>
      </c>
      <c r="E642" s="1923">
        <v>1540</v>
      </c>
      <c r="F642" s="1923">
        <v>1200</v>
      </c>
      <c r="G642" s="2067">
        <v>1200</v>
      </c>
      <c r="H642" s="1925">
        <v>900</v>
      </c>
      <c r="I642" s="1664">
        <f t="shared" si="135"/>
        <v>0.75</v>
      </c>
    </row>
    <row r="643" spans="1:9" ht="11.25" customHeight="1">
      <c r="A643" s="1614"/>
      <c r="B643" s="1627"/>
      <c r="C643" s="2000"/>
      <c r="D643" s="2122"/>
      <c r="E643" s="1668"/>
      <c r="F643" s="1668"/>
      <c r="G643" s="2067"/>
      <c r="H643" s="1925"/>
      <c r="I643" s="1664"/>
    </row>
    <row r="644" spans="1:9" ht="24.75" customHeight="1">
      <c r="A644" s="1614"/>
      <c r="B644" s="1627"/>
      <c r="C644" s="4963" t="s">
        <v>803</v>
      </c>
      <c r="D644" s="4963"/>
      <c r="E644" s="2150">
        <f>SUM(E645:E649)</f>
        <v>33750726</v>
      </c>
      <c r="F644" s="2150">
        <f>SUM(F645:F649)</f>
        <v>27118670</v>
      </c>
      <c r="G644" s="2151">
        <f>SUM(G645:G649)</f>
        <v>25623847</v>
      </c>
      <c r="H644" s="2152">
        <f t="shared" ref="H644" si="137">SUM(H645:H649)</f>
        <v>23695205.25</v>
      </c>
      <c r="I644" s="1664">
        <f t="shared" si="135"/>
        <v>0.92473254503900215</v>
      </c>
    </row>
    <row r="645" spans="1:9" ht="66" customHeight="1">
      <c r="A645" s="1614"/>
      <c r="B645" s="1627"/>
      <c r="C645" s="2065" t="s">
        <v>611</v>
      </c>
      <c r="D645" s="1827" t="s">
        <v>805</v>
      </c>
      <c r="E645" s="2150">
        <v>31827793</v>
      </c>
      <c r="F645" s="2150">
        <v>26386011</v>
      </c>
      <c r="G645" s="2153">
        <v>25007801</v>
      </c>
      <c r="H645" s="2154">
        <v>23079160.690000001</v>
      </c>
      <c r="I645" s="1664">
        <f t="shared" si="135"/>
        <v>0.92287845260764834</v>
      </c>
    </row>
    <row r="646" spans="1:9" ht="48" customHeight="1">
      <c r="A646" s="1614"/>
      <c r="B646" s="1627"/>
      <c r="C646" s="2129" t="s">
        <v>495</v>
      </c>
      <c r="D646" s="2155" t="s">
        <v>857</v>
      </c>
      <c r="E646" s="2156">
        <v>16128</v>
      </c>
      <c r="F646" s="2156">
        <v>0</v>
      </c>
      <c r="G646" s="2153">
        <v>28786</v>
      </c>
      <c r="H646" s="2154">
        <v>28785.4</v>
      </c>
      <c r="I646" s="1664">
        <f t="shared" si="135"/>
        <v>0.99997915653442648</v>
      </c>
    </row>
    <row r="647" spans="1:9" ht="16.5" customHeight="1">
      <c r="A647" s="1614"/>
      <c r="B647" s="1627"/>
      <c r="C647" s="2108" t="s">
        <v>864</v>
      </c>
      <c r="D647" s="2157" t="s">
        <v>776</v>
      </c>
      <c r="E647" s="1661">
        <v>1059676</v>
      </c>
      <c r="F647" s="1661">
        <v>693850</v>
      </c>
      <c r="G647" s="2153">
        <f>586403</f>
        <v>586403</v>
      </c>
      <c r="H647" s="2154">
        <v>586402.5</v>
      </c>
      <c r="I647" s="1664">
        <f t="shared" si="135"/>
        <v>0.99999914734406203</v>
      </c>
    </row>
    <row r="648" spans="1:9" ht="15" customHeight="1">
      <c r="A648" s="1614"/>
      <c r="B648" s="1627"/>
      <c r="C648" s="2158" t="s">
        <v>825</v>
      </c>
      <c r="D648" s="2159" t="s">
        <v>776</v>
      </c>
      <c r="E648" s="2160">
        <v>844043</v>
      </c>
      <c r="F648" s="2160">
        <v>38809</v>
      </c>
      <c r="G648" s="2153">
        <v>0</v>
      </c>
      <c r="H648" s="2154">
        <v>0</v>
      </c>
      <c r="I648" s="1664"/>
    </row>
    <row r="649" spans="1:9" ht="51.75" customHeight="1" thickBot="1">
      <c r="A649" s="1644"/>
      <c r="B649" s="1645"/>
      <c r="C649" s="1900" t="s">
        <v>832</v>
      </c>
      <c r="D649" s="2161" t="s">
        <v>833</v>
      </c>
      <c r="E649" s="1678">
        <f>1000+2086</f>
        <v>3086</v>
      </c>
      <c r="F649" s="1678">
        <v>0</v>
      </c>
      <c r="G649" s="2162">
        <v>857</v>
      </c>
      <c r="H649" s="1747">
        <v>856.66</v>
      </c>
      <c r="I649" s="1651">
        <f t="shared" si="135"/>
        <v>0.99960326721120185</v>
      </c>
    </row>
    <row r="650" spans="1:9" ht="15" customHeight="1">
      <c r="A650" s="1614"/>
      <c r="B650" s="1627"/>
      <c r="C650" s="2000"/>
      <c r="D650" s="2163"/>
      <c r="E650" s="1668"/>
      <c r="F650" s="1668"/>
      <c r="G650" s="1761"/>
      <c r="H650" s="1663"/>
      <c r="I650" s="1664"/>
    </row>
    <row r="651" spans="1:9" ht="15.75" customHeight="1">
      <c r="A651" s="1614"/>
      <c r="B651" s="1684"/>
      <c r="C651" s="4964" t="s">
        <v>793</v>
      </c>
      <c r="D651" s="4964"/>
      <c r="E651" s="2164">
        <f>SUM(E652)</f>
        <v>50000</v>
      </c>
      <c r="F651" s="2164">
        <f t="shared" ref="F651:H651" si="138">SUM(F652)</f>
        <v>30000</v>
      </c>
      <c r="G651" s="2164">
        <f>SUM(G652)</f>
        <v>30000</v>
      </c>
      <c r="H651" s="2106">
        <f t="shared" si="138"/>
        <v>29950.5</v>
      </c>
      <c r="I651" s="1672">
        <f t="shared" ref="I651:I653" si="139">H651/G651</f>
        <v>0.99834999999999996</v>
      </c>
    </row>
    <row r="652" spans="1:9" ht="15.75" customHeight="1">
      <c r="A652" s="1614"/>
      <c r="B652" s="1684"/>
      <c r="C652" s="4965" t="s">
        <v>794</v>
      </c>
      <c r="D652" s="4965"/>
      <c r="E652" s="1923">
        <f>SUM(E653:E657)</f>
        <v>50000</v>
      </c>
      <c r="F652" s="1923">
        <f>SUM(F653:F657)</f>
        <v>30000</v>
      </c>
      <c r="G652" s="1923">
        <f>G653</f>
        <v>30000</v>
      </c>
      <c r="H652" s="1925">
        <f>H653</f>
        <v>29950.5</v>
      </c>
      <c r="I652" s="1664">
        <f t="shared" si="139"/>
        <v>0.99834999999999996</v>
      </c>
    </row>
    <row r="653" spans="1:9" ht="18.75" customHeight="1" thickBot="1">
      <c r="A653" s="1614"/>
      <c r="B653" s="1684"/>
      <c r="C653" s="2129" t="s">
        <v>24</v>
      </c>
      <c r="D653" s="2165" t="s">
        <v>842</v>
      </c>
      <c r="E653" s="2123">
        <v>0</v>
      </c>
      <c r="F653" s="2123">
        <v>30000</v>
      </c>
      <c r="G653" s="2166">
        <v>30000</v>
      </c>
      <c r="H653" s="2167">
        <v>29950.5</v>
      </c>
      <c r="I653" s="1725">
        <f t="shared" si="139"/>
        <v>0.99834999999999996</v>
      </c>
    </row>
    <row r="654" spans="1:9" ht="17.25" customHeight="1" thickBot="1">
      <c r="A654" s="1614"/>
      <c r="B654" s="1726" t="s">
        <v>190</v>
      </c>
      <c r="C654" s="2168"/>
      <c r="D654" s="1728" t="s">
        <v>192</v>
      </c>
      <c r="E654" s="1729">
        <f>E655+E659</f>
        <v>20000</v>
      </c>
      <c r="F654" s="1729">
        <f>F655+F659</f>
        <v>0</v>
      </c>
      <c r="G654" s="1729">
        <f t="shared" ref="G654:H654" si="140">G655+G659</f>
        <v>24000</v>
      </c>
      <c r="H654" s="1731">
        <f t="shared" si="140"/>
        <v>24000</v>
      </c>
      <c r="I654" s="2169">
        <f t="shared" si="135"/>
        <v>1</v>
      </c>
    </row>
    <row r="655" spans="1:9" ht="15.75" customHeight="1">
      <c r="A655" s="1614"/>
      <c r="B655" s="1779"/>
      <c r="C655" s="4871" t="s">
        <v>760</v>
      </c>
      <c r="D655" s="4871"/>
      <c r="E655" s="1615">
        <f>E656</f>
        <v>10000</v>
      </c>
      <c r="F655" s="1615">
        <f>F656</f>
        <v>0</v>
      </c>
      <c r="G655" s="1615">
        <f t="shared" ref="G655:H655" si="141">G656</f>
        <v>24000</v>
      </c>
      <c r="H655" s="1617">
        <f t="shared" si="141"/>
        <v>24000</v>
      </c>
      <c r="I655" s="1769">
        <f t="shared" si="135"/>
        <v>1</v>
      </c>
    </row>
    <row r="656" spans="1:9" ht="16.5" customHeight="1">
      <c r="A656" s="4716"/>
      <c r="B656" s="4687"/>
      <c r="C656" s="4966" t="s">
        <v>838</v>
      </c>
      <c r="D656" s="4967"/>
      <c r="E656" s="1926">
        <f>E657</f>
        <v>10000</v>
      </c>
      <c r="F656" s="1926">
        <f t="shared" ref="F656:H656" si="142">F657</f>
        <v>0</v>
      </c>
      <c r="G656" s="1926">
        <f t="shared" si="142"/>
        <v>24000</v>
      </c>
      <c r="H656" s="1928">
        <f t="shared" si="142"/>
        <v>24000</v>
      </c>
      <c r="I656" s="1769">
        <f t="shared" si="135"/>
        <v>1</v>
      </c>
    </row>
    <row r="657" spans="1:9" ht="33.75" customHeight="1" thickBot="1">
      <c r="A657" s="4716"/>
      <c r="B657" s="4687"/>
      <c r="C657" s="1659" t="s">
        <v>86</v>
      </c>
      <c r="D657" s="1660" t="s">
        <v>941</v>
      </c>
      <c r="E657" s="1661">
        <v>10000</v>
      </c>
      <c r="F657" s="1661">
        <v>0</v>
      </c>
      <c r="G657" s="1881">
        <v>24000</v>
      </c>
      <c r="H657" s="1663">
        <v>24000</v>
      </c>
      <c r="I657" s="1769">
        <f t="shared" si="135"/>
        <v>1</v>
      </c>
    </row>
    <row r="658" spans="1:9" ht="15.75" hidden="1" customHeight="1">
      <c r="A658" s="1614"/>
      <c r="B658" s="1684"/>
      <c r="C658" s="1695"/>
      <c r="D658" s="1696"/>
      <c r="E658" s="1661"/>
      <c r="F658" s="1661"/>
      <c r="G658" s="2170"/>
      <c r="H658" s="1925"/>
      <c r="I658" s="1769" t="e">
        <f t="shared" si="135"/>
        <v>#DIV/0!</v>
      </c>
    </row>
    <row r="659" spans="1:9" ht="18.75" hidden="1" customHeight="1">
      <c r="A659" s="1614"/>
      <c r="B659" s="1684"/>
      <c r="C659" s="4960" t="s">
        <v>793</v>
      </c>
      <c r="D659" s="4961"/>
      <c r="E659" s="1615">
        <f>E660</f>
        <v>10000</v>
      </c>
      <c r="F659" s="1615">
        <f>F660</f>
        <v>0</v>
      </c>
      <c r="G659" s="2170"/>
      <c r="H659" s="1925"/>
      <c r="I659" s="1769" t="e">
        <f t="shared" si="135"/>
        <v>#DIV/0!</v>
      </c>
    </row>
    <row r="660" spans="1:9" ht="17.25" hidden="1" customHeight="1">
      <c r="A660" s="1614"/>
      <c r="B660" s="1684"/>
      <c r="C660" s="4874" t="s">
        <v>908</v>
      </c>
      <c r="D660" s="4874"/>
      <c r="E660" s="1668">
        <f>E661</f>
        <v>10000</v>
      </c>
      <c r="F660" s="1668">
        <f>F661</f>
        <v>0</v>
      </c>
      <c r="G660" s="2170"/>
      <c r="H660" s="1925"/>
      <c r="I660" s="1769" t="e">
        <f t="shared" si="135"/>
        <v>#DIV/0!</v>
      </c>
    </row>
    <row r="661" spans="1:9" ht="39" hidden="1" customHeight="1" thickBot="1">
      <c r="A661" s="1614"/>
      <c r="B661" s="1684"/>
      <c r="C661" s="1695" t="s">
        <v>88</v>
      </c>
      <c r="D661" s="1696" t="s">
        <v>909</v>
      </c>
      <c r="E661" s="1678">
        <v>10000</v>
      </c>
      <c r="F661" s="1678">
        <v>0</v>
      </c>
      <c r="G661" s="2170"/>
      <c r="H661" s="1925"/>
      <c r="I661" s="1725" t="e">
        <f t="shared" si="135"/>
        <v>#DIV/0!</v>
      </c>
    </row>
    <row r="662" spans="1:9" ht="17.100000000000001" customHeight="1" thickBot="1">
      <c r="A662" s="1819" t="s">
        <v>139</v>
      </c>
      <c r="B662" s="2112"/>
      <c r="C662" s="2113"/>
      <c r="D662" s="2114" t="s">
        <v>947</v>
      </c>
      <c r="E662" s="2115">
        <f>E663</f>
        <v>45848856</v>
      </c>
      <c r="F662" s="2115">
        <f t="shared" ref="F662:H662" si="143">F663</f>
        <v>20377213</v>
      </c>
      <c r="G662" s="2116">
        <f t="shared" si="143"/>
        <v>17107215</v>
      </c>
      <c r="H662" s="2117">
        <f t="shared" si="143"/>
        <v>15910667.989999998</v>
      </c>
      <c r="I662" s="1826">
        <f t="shared" si="135"/>
        <v>0.93005600210203698</v>
      </c>
    </row>
    <row r="663" spans="1:9" ht="17.100000000000001" customHeight="1" thickBot="1">
      <c r="A663" s="1614"/>
      <c r="B663" s="1726" t="s">
        <v>141</v>
      </c>
      <c r="C663" s="1727"/>
      <c r="D663" s="1728" t="s">
        <v>95</v>
      </c>
      <c r="E663" s="1729">
        <f>E664+E682</f>
        <v>45848856</v>
      </c>
      <c r="F663" s="1729">
        <f t="shared" ref="F663:H663" si="144">F664+F682</f>
        <v>20377213</v>
      </c>
      <c r="G663" s="1730">
        <f>G664+G682</f>
        <v>17107215</v>
      </c>
      <c r="H663" s="1731">
        <f t="shared" si="144"/>
        <v>15910667.989999998</v>
      </c>
      <c r="I663" s="1613">
        <f t="shared" si="135"/>
        <v>0.93005600210203698</v>
      </c>
    </row>
    <row r="664" spans="1:9" ht="17.100000000000001" customHeight="1">
      <c r="A664" s="1614"/>
      <c r="B664" s="4687"/>
      <c r="C664" s="4871" t="s">
        <v>760</v>
      </c>
      <c r="D664" s="4871"/>
      <c r="E664" s="1615">
        <f>E665+E679</f>
        <v>5800346</v>
      </c>
      <c r="F664" s="1615">
        <f>F665+F679</f>
        <v>8689908</v>
      </c>
      <c r="G664" s="1616">
        <f t="shared" ref="G664:H664" si="145">G665+G679</f>
        <v>8602908</v>
      </c>
      <c r="H664" s="1617">
        <f t="shared" si="145"/>
        <v>7406718.4699999997</v>
      </c>
      <c r="I664" s="1780">
        <f t="shared" si="135"/>
        <v>0.86095521072641945</v>
      </c>
    </row>
    <row r="665" spans="1:9" ht="17.100000000000001" customHeight="1">
      <c r="A665" s="1614"/>
      <c r="B665" s="4687"/>
      <c r="C665" s="4942" t="s">
        <v>761</v>
      </c>
      <c r="D665" s="4942"/>
      <c r="E665" s="1923">
        <f>E666</f>
        <v>5800036</v>
      </c>
      <c r="F665" s="1923">
        <f t="shared" ref="F665:H665" si="146">F666</f>
        <v>8689908</v>
      </c>
      <c r="G665" s="2118">
        <f t="shared" si="146"/>
        <v>8602908</v>
      </c>
      <c r="H665" s="1925">
        <f t="shared" si="146"/>
        <v>7406718.4699999997</v>
      </c>
      <c r="I665" s="1769">
        <f t="shared" si="135"/>
        <v>0.86095521072641945</v>
      </c>
    </row>
    <row r="666" spans="1:9" ht="17.100000000000001" customHeight="1">
      <c r="A666" s="1614"/>
      <c r="B666" s="4687"/>
      <c r="C666" s="4943" t="s">
        <v>769</v>
      </c>
      <c r="D666" s="4943"/>
      <c r="E666" s="1926">
        <f>SUM(E667:E677)</f>
        <v>5800036</v>
      </c>
      <c r="F666" s="1926">
        <f t="shared" ref="F666:H666" si="147">SUM(F667:F677)</f>
        <v>8689908</v>
      </c>
      <c r="G666" s="2137">
        <f t="shared" si="147"/>
        <v>8602908</v>
      </c>
      <c r="H666" s="1928">
        <f t="shared" si="147"/>
        <v>7406718.4699999997</v>
      </c>
      <c r="I666" s="1783">
        <f t="shared" si="135"/>
        <v>0.86095521072641945</v>
      </c>
    </row>
    <row r="667" spans="1:9" ht="17.100000000000001" customHeight="1">
      <c r="A667" s="1614"/>
      <c r="B667" s="4687"/>
      <c r="C667" s="2171" t="s">
        <v>22</v>
      </c>
      <c r="D667" s="2172" t="s">
        <v>771</v>
      </c>
      <c r="E667" s="1923">
        <v>190000</v>
      </c>
      <c r="F667" s="1923">
        <v>65000</v>
      </c>
      <c r="G667" s="2170">
        <v>77000</v>
      </c>
      <c r="H667" s="1925">
        <v>38447.919999999998</v>
      </c>
      <c r="I667" s="1769">
        <f t="shared" si="135"/>
        <v>0.49932363636363636</v>
      </c>
    </row>
    <row r="668" spans="1:9" ht="17.100000000000001" customHeight="1">
      <c r="A668" s="1614"/>
      <c r="B668" s="4687"/>
      <c r="C668" s="2171" t="s">
        <v>316</v>
      </c>
      <c r="D668" s="2172" t="s">
        <v>773</v>
      </c>
      <c r="E668" s="1923">
        <v>16000</v>
      </c>
      <c r="F668" s="1923">
        <v>25000</v>
      </c>
      <c r="G668" s="2170">
        <v>25000</v>
      </c>
      <c r="H668" s="1925">
        <v>13141.96</v>
      </c>
      <c r="I668" s="1769">
        <f t="shared" si="135"/>
        <v>0.52567839999999999</v>
      </c>
    </row>
    <row r="669" spans="1:9" ht="17.100000000000001" customHeight="1">
      <c r="A669" s="1614"/>
      <c r="B669" s="4687"/>
      <c r="C669" s="2171" t="s">
        <v>87</v>
      </c>
      <c r="D669" s="2172" t="s">
        <v>774</v>
      </c>
      <c r="E669" s="1923">
        <v>270000</v>
      </c>
      <c r="F669" s="1923">
        <v>270000</v>
      </c>
      <c r="G669" s="2170">
        <v>445000</v>
      </c>
      <c r="H669" s="1925">
        <v>395590.95</v>
      </c>
      <c r="I669" s="1769">
        <f t="shared" si="135"/>
        <v>0.88896842696629219</v>
      </c>
    </row>
    <row r="670" spans="1:9" ht="17.100000000000001" customHeight="1">
      <c r="A670" s="1614"/>
      <c r="B670" s="4687"/>
      <c r="C670" s="2171" t="s">
        <v>23</v>
      </c>
      <c r="D670" s="2172" t="s">
        <v>776</v>
      </c>
      <c r="E670" s="1923">
        <v>511036</v>
      </c>
      <c r="F670" s="1923">
        <v>2318150</v>
      </c>
      <c r="G670" s="2170">
        <v>2044150</v>
      </c>
      <c r="H670" s="1925">
        <v>1446974.4</v>
      </c>
      <c r="I670" s="1769">
        <f t="shared" si="135"/>
        <v>0.70786116478731986</v>
      </c>
    </row>
    <row r="671" spans="1:9" ht="17.100000000000001" customHeight="1">
      <c r="A671" s="1614"/>
      <c r="B671" s="4687"/>
      <c r="C671" s="2171" t="s">
        <v>318</v>
      </c>
      <c r="D671" s="2172" t="s">
        <v>777</v>
      </c>
      <c r="E671" s="1923">
        <v>3000</v>
      </c>
      <c r="F671" s="1923">
        <v>5000</v>
      </c>
      <c r="G671" s="2170">
        <v>5000</v>
      </c>
      <c r="H671" s="1925">
        <v>3805.62</v>
      </c>
      <c r="I671" s="1769">
        <f t="shared" si="135"/>
        <v>0.76112400000000002</v>
      </c>
    </row>
    <row r="672" spans="1:9" ht="17.100000000000001" customHeight="1">
      <c r="A672" s="1614"/>
      <c r="B672" s="4687"/>
      <c r="C672" s="2171" t="s">
        <v>327</v>
      </c>
      <c r="D672" s="2172" t="s">
        <v>778</v>
      </c>
      <c r="E672" s="1923">
        <v>40000</v>
      </c>
      <c r="F672" s="1923">
        <v>274758</v>
      </c>
      <c r="G672" s="2170">
        <v>274758</v>
      </c>
      <c r="H672" s="1925">
        <v>0</v>
      </c>
      <c r="I672" s="1769">
        <f t="shared" si="135"/>
        <v>0</v>
      </c>
    </row>
    <row r="673" spans="1:9" ht="30.75" customHeight="1">
      <c r="A673" s="1614"/>
      <c r="B673" s="1684"/>
      <c r="C673" s="2036" t="s">
        <v>779</v>
      </c>
      <c r="D673" s="2172" t="s">
        <v>780</v>
      </c>
      <c r="E673" s="1923">
        <v>8000</v>
      </c>
      <c r="F673" s="1923">
        <v>8000</v>
      </c>
      <c r="G673" s="2170">
        <v>8000</v>
      </c>
      <c r="H673" s="1925">
        <v>4880.2299999999996</v>
      </c>
      <c r="I673" s="1769">
        <f t="shared" si="135"/>
        <v>0.6100287499999999</v>
      </c>
    </row>
    <row r="674" spans="1:9" ht="17.100000000000001" customHeight="1">
      <c r="A674" s="1627"/>
      <c r="B674" s="1684"/>
      <c r="C674" s="2012" t="s">
        <v>333</v>
      </c>
      <c r="D674" s="2173" t="s">
        <v>782</v>
      </c>
      <c r="E674" s="1923">
        <v>4453000</v>
      </c>
      <c r="F674" s="1923">
        <v>4500000</v>
      </c>
      <c r="G674" s="2170">
        <v>4500000</v>
      </c>
      <c r="H674" s="1925">
        <v>4296487.93</v>
      </c>
      <c r="I674" s="1769">
        <f t="shared" si="135"/>
        <v>0.95477509555555551</v>
      </c>
    </row>
    <row r="675" spans="1:9" ht="17.100000000000001" customHeight="1">
      <c r="A675" s="1614"/>
      <c r="B675" s="1684"/>
      <c r="C675" s="2089" t="s">
        <v>788</v>
      </c>
      <c r="D675" s="1691" t="s">
        <v>789</v>
      </c>
      <c r="E675" s="1661">
        <v>184000</v>
      </c>
      <c r="F675" s="1661">
        <v>1219000</v>
      </c>
      <c r="G675" s="1881">
        <v>1219000</v>
      </c>
      <c r="H675" s="1663">
        <v>1207389.46</v>
      </c>
      <c r="I675" s="1769">
        <f t="shared" si="135"/>
        <v>0.99047535684987686</v>
      </c>
    </row>
    <row r="676" spans="1:9" ht="27" hidden="1" customHeight="1">
      <c r="A676" s="1614"/>
      <c r="B676" s="1684"/>
      <c r="C676" s="2036" t="s">
        <v>948</v>
      </c>
      <c r="D676" s="1660" t="s">
        <v>949</v>
      </c>
      <c r="E676" s="1661">
        <v>100000</v>
      </c>
      <c r="F676" s="1661">
        <v>0</v>
      </c>
      <c r="G676" s="1881">
        <v>0</v>
      </c>
      <c r="H676" s="1663">
        <v>0</v>
      </c>
      <c r="I676" s="1769" t="e">
        <f t="shared" si="135"/>
        <v>#DIV/0!</v>
      </c>
    </row>
    <row r="677" spans="1:9" ht="28.5" customHeight="1">
      <c r="A677" s="1614"/>
      <c r="B677" s="1684"/>
      <c r="C677" s="2174" t="s">
        <v>64</v>
      </c>
      <c r="D677" s="2173" t="s">
        <v>790</v>
      </c>
      <c r="E677" s="1923">
        <v>25000</v>
      </c>
      <c r="F677" s="1923">
        <v>5000</v>
      </c>
      <c r="G677" s="2170">
        <v>5000</v>
      </c>
      <c r="H677" s="1925">
        <v>0</v>
      </c>
      <c r="I677" s="1769">
        <f t="shared" si="135"/>
        <v>0</v>
      </c>
    </row>
    <row r="678" spans="1:9" hidden="1">
      <c r="A678" s="1614"/>
      <c r="B678" s="1684"/>
      <c r="C678" s="2036"/>
      <c r="D678" s="2037"/>
      <c r="E678" s="1661"/>
      <c r="F678" s="1661"/>
      <c r="G678" s="1881"/>
      <c r="H678" s="1663"/>
      <c r="I678" s="1769"/>
    </row>
    <row r="679" spans="1:9" ht="27.75" hidden="1" customHeight="1">
      <c r="A679" s="1614"/>
      <c r="B679" s="1684"/>
      <c r="C679" s="4954" t="s">
        <v>803</v>
      </c>
      <c r="D679" s="4955"/>
      <c r="E679" s="1923">
        <f>E680</f>
        <v>310</v>
      </c>
      <c r="F679" s="1923">
        <f>F680</f>
        <v>0</v>
      </c>
      <c r="G679" s="1923">
        <f t="shared" ref="G679:H679" si="148">G680</f>
        <v>0</v>
      </c>
      <c r="H679" s="1925">
        <f t="shared" si="148"/>
        <v>0</v>
      </c>
      <c r="I679" s="1769" t="e">
        <f t="shared" si="135"/>
        <v>#DIV/0!</v>
      </c>
    </row>
    <row r="680" spans="1:9" ht="51" hidden="1">
      <c r="A680" s="1614"/>
      <c r="B680" s="1684"/>
      <c r="C680" s="2175" t="s">
        <v>832</v>
      </c>
      <c r="D680" s="2176" t="s">
        <v>833</v>
      </c>
      <c r="E680" s="1923">
        <v>310</v>
      </c>
      <c r="F680" s="1923">
        <v>0</v>
      </c>
      <c r="G680" s="2170">
        <v>0</v>
      </c>
      <c r="H680" s="1925">
        <v>0</v>
      </c>
      <c r="I680" s="1769" t="e">
        <f t="shared" si="135"/>
        <v>#DIV/0!</v>
      </c>
    </row>
    <row r="681" spans="1:9" ht="15.75" customHeight="1">
      <c r="A681" s="1614"/>
      <c r="B681" s="1684"/>
      <c r="C681" s="2177"/>
      <c r="D681" s="2176"/>
      <c r="E681" s="1923"/>
      <c r="F681" s="1923"/>
      <c r="G681" s="2170"/>
      <c r="H681" s="1925"/>
      <c r="I681" s="1769"/>
    </row>
    <row r="682" spans="1:9" ht="15.75" customHeight="1">
      <c r="A682" s="1614"/>
      <c r="B682" s="1684"/>
      <c r="C682" s="4956" t="s">
        <v>793</v>
      </c>
      <c r="D682" s="4956"/>
      <c r="E682" s="2164">
        <f>SUM(E683)</f>
        <v>40048510</v>
      </c>
      <c r="F682" s="2164">
        <f t="shared" ref="F682:H682" si="149">SUM(F683)</f>
        <v>11687305</v>
      </c>
      <c r="G682" s="2178">
        <f t="shared" si="149"/>
        <v>8504307</v>
      </c>
      <c r="H682" s="2106">
        <f t="shared" si="149"/>
        <v>8503949.5199999996</v>
      </c>
      <c r="I682" s="1780">
        <f t="shared" si="135"/>
        <v>0.99995796482888022</v>
      </c>
    </row>
    <row r="683" spans="1:9" ht="15.75" customHeight="1">
      <c r="A683" s="1614"/>
      <c r="B683" s="1684"/>
      <c r="C683" s="4957" t="s">
        <v>794</v>
      </c>
      <c r="D683" s="4957"/>
      <c r="E683" s="1923">
        <f>SUM(E684:E692)</f>
        <v>40048510</v>
      </c>
      <c r="F683" s="1923">
        <f>SUM(F684:F692)</f>
        <v>11687305</v>
      </c>
      <c r="G683" s="2118">
        <f>SUM(G684:G692)</f>
        <v>8504307</v>
      </c>
      <c r="H683" s="1925">
        <f t="shared" ref="H683" si="150">SUM(H684:H692)</f>
        <v>8503949.5199999996</v>
      </c>
      <c r="I683" s="1769">
        <f t="shared" si="135"/>
        <v>0.99995796482888022</v>
      </c>
    </row>
    <row r="684" spans="1:9" ht="15.75" customHeight="1" thickBot="1">
      <c r="A684" s="1644"/>
      <c r="B684" s="1849"/>
      <c r="C684" s="2179" t="s">
        <v>89</v>
      </c>
      <c r="D684" s="2180" t="s">
        <v>795</v>
      </c>
      <c r="E684" s="1678">
        <f>235900+15721</f>
        <v>251621</v>
      </c>
      <c r="F684" s="1678">
        <v>3800</v>
      </c>
      <c r="G684" s="1921">
        <v>0</v>
      </c>
      <c r="H684" s="1747">
        <v>0</v>
      </c>
      <c r="I684" s="1651"/>
    </row>
    <row r="685" spans="1:9" ht="15" customHeight="1">
      <c r="A685" s="1614"/>
      <c r="B685" s="1684"/>
      <c r="C685" s="1659" t="s">
        <v>891</v>
      </c>
      <c r="D685" s="1660" t="s">
        <v>795</v>
      </c>
      <c r="E685" s="1661">
        <f>9905836+1286488</f>
        <v>11192324</v>
      </c>
      <c r="F685" s="1661">
        <v>7047915</v>
      </c>
      <c r="G685" s="1881">
        <f>5350088+765975</f>
        <v>6116063</v>
      </c>
      <c r="H685" s="1663">
        <v>6116061.3399999999</v>
      </c>
      <c r="I685" s="1769">
        <f t="shared" si="135"/>
        <v>0.99999972858356756</v>
      </c>
    </row>
    <row r="686" spans="1:9" ht="13.5" hidden="1" customHeight="1">
      <c r="A686" s="1614"/>
      <c r="B686" s="1684"/>
      <c r="C686" s="2171" t="s">
        <v>904</v>
      </c>
      <c r="D686" s="2172" t="s">
        <v>795</v>
      </c>
      <c r="E686" s="1923"/>
      <c r="F686" s="1923"/>
      <c r="G686" s="2067"/>
      <c r="H686" s="1925"/>
      <c r="I686" s="1769" t="e">
        <f t="shared" si="135"/>
        <v>#DIV/0!</v>
      </c>
    </row>
    <row r="687" spans="1:9" ht="18.75" customHeight="1">
      <c r="A687" s="1614"/>
      <c r="B687" s="1684"/>
      <c r="C687" s="2171" t="s">
        <v>892</v>
      </c>
      <c r="D687" s="2172" t="s">
        <v>795</v>
      </c>
      <c r="E687" s="1923">
        <f>1601049+227028</f>
        <v>1828077</v>
      </c>
      <c r="F687" s="1923">
        <v>1159151</v>
      </c>
      <c r="G687" s="2067">
        <f>944135+135172</f>
        <v>1079307</v>
      </c>
      <c r="H687" s="1925">
        <v>1079304.97</v>
      </c>
      <c r="I687" s="1769">
        <f t="shared" si="135"/>
        <v>0.99999811916350023</v>
      </c>
    </row>
    <row r="688" spans="1:9" ht="18.75" customHeight="1">
      <c r="A688" s="1614"/>
      <c r="B688" s="1684"/>
      <c r="C688" s="2181" t="s">
        <v>24</v>
      </c>
      <c r="D688" s="2182" t="s">
        <v>842</v>
      </c>
      <c r="E688" s="1923">
        <v>0</v>
      </c>
      <c r="F688" s="1923">
        <v>175000</v>
      </c>
      <c r="G688" s="2170">
        <v>50000</v>
      </c>
      <c r="H688" s="1925">
        <v>49815</v>
      </c>
      <c r="I688" s="1769">
        <f t="shared" si="135"/>
        <v>0.99629999999999996</v>
      </c>
    </row>
    <row r="689" spans="1:9" ht="43.5" hidden="1" customHeight="1">
      <c r="A689" s="1614"/>
      <c r="B689" s="1684"/>
      <c r="C689" s="2181" t="s">
        <v>870</v>
      </c>
      <c r="D689" s="2183" t="s">
        <v>877</v>
      </c>
      <c r="E689" s="1923">
        <v>90564</v>
      </c>
      <c r="F689" s="1923"/>
      <c r="G689" s="2067"/>
      <c r="H689" s="1925"/>
      <c r="I689" s="1769" t="e">
        <f t="shared" si="135"/>
        <v>#DIV/0!</v>
      </c>
    </row>
    <row r="690" spans="1:9" ht="69" customHeight="1">
      <c r="A690" s="4716"/>
      <c r="B690" s="4687"/>
      <c r="C690" s="2184" t="s">
        <v>894</v>
      </c>
      <c r="D690" s="2185" t="s">
        <v>874</v>
      </c>
      <c r="E690" s="1923">
        <v>26284038</v>
      </c>
      <c r="F690" s="1923">
        <v>3301439</v>
      </c>
      <c r="G690" s="2170">
        <f>1258937</f>
        <v>1258937</v>
      </c>
      <c r="H690" s="1925">
        <v>1258768.21</v>
      </c>
      <c r="I690" s="1769">
        <f t="shared" si="135"/>
        <v>0.99986592657138518</v>
      </c>
    </row>
    <row r="691" spans="1:9" ht="44.25" hidden="1" customHeight="1">
      <c r="A691" s="4716"/>
      <c r="B691" s="4687"/>
      <c r="C691" s="1659" t="s">
        <v>88</v>
      </c>
      <c r="D691" s="1660" t="s">
        <v>909</v>
      </c>
      <c r="E691" s="1661">
        <v>383470</v>
      </c>
      <c r="F691" s="1661">
        <v>0</v>
      </c>
      <c r="G691" s="1881">
        <v>0</v>
      </c>
      <c r="H691" s="1663">
        <v>0</v>
      </c>
      <c r="I691" s="1769" t="e">
        <f t="shared" si="135"/>
        <v>#DIV/0!</v>
      </c>
    </row>
    <row r="692" spans="1:9" ht="54.75" hidden="1" customHeight="1">
      <c r="A692" s="4716"/>
      <c r="B692" s="4687"/>
      <c r="C692" s="2186" t="s">
        <v>906</v>
      </c>
      <c r="D692" s="2187" t="s">
        <v>800</v>
      </c>
      <c r="E692" s="1668">
        <v>18416</v>
      </c>
      <c r="F692" s="1668">
        <v>0</v>
      </c>
      <c r="G692" s="2170">
        <f>0</f>
        <v>0</v>
      </c>
      <c r="H692" s="2188">
        <v>0</v>
      </c>
      <c r="I692" s="1769" t="e">
        <f t="shared" si="135"/>
        <v>#DIV/0!</v>
      </c>
    </row>
    <row r="693" spans="1:9" ht="15.75" customHeight="1">
      <c r="A693" s="4716"/>
      <c r="B693" s="4687"/>
      <c r="C693" s="4958"/>
      <c r="D693" s="4959"/>
      <c r="E693" s="2189"/>
      <c r="F693" s="2189"/>
      <c r="G693" s="2190"/>
      <c r="H693" s="2188"/>
      <c r="I693" s="1769"/>
    </row>
    <row r="694" spans="1:9" ht="28.5" customHeight="1">
      <c r="A694" s="1614"/>
      <c r="B694" s="1684"/>
      <c r="C694" s="4912" t="s">
        <v>801</v>
      </c>
      <c r="D694" s="4914"/>
      <c r="E694" s="2191">
        <f>SUM(E695:E700)</f>
        <v>39413419</v>
      </c>
      <c r="F694" s="2191">
        <f>SUM(F695:F700)</f>
        <v>11512305</v>
      </c>
      <c r="G694" s="2192">
        <f>SUM(G695:G700)</f>
        <v>8454307</v>
      </c>
      <c r="H694" s="2193">
        <f>SUM(H695:H700)</f>
        <v>8454134.5199999996</v>
      </c>
      <c r="I694" s="1769">
        <f t="shared" si="135"/>
        <v>0.99997959856437668</v>
      </c>
    </row>
    <row r="695" spans="1:9" ht="15.75" customHeight="1">
      <c r="A695" s="1614"/>
      <c r="B695" s="1684"/>
      <c r="C695" s="2194" t="s">
        <v>89</v>
      </c>
      <c r="D695" s="2195" t="s">
        <v>795</v>
      </c>
      <c r="E695" s="2196">
        <f>9905836+1286488</f>
        <v>11192324</v>
      </c>
      <c r="F695" s="2196">
        <v>3800</v>
      </c>
      <c r="G695" s="2190">
        <v>0</v>
      </c>
      <c r="H695" s="2197">
        <v>0</v>
      </c>
      <c r="I695" s="1769"/>
    </row>
    <row r="696" spans="1:9" ht="15.75" customHeight="1">
      <c r="A696" s="1614"/>
      <c r="B696" s="1684"/>
      <c r="C696" s="2194" t="s">
        <v>891</v>
      </c>
      <c r="D696" s="2195" t="s">
        <v>795</v>
      </c>
      <c r="E696" s="2196"/>
      <c r="F696" s="2196">
        <v>7047915</v>
      </c>
      <c r="G696" s="2190">
        <f>5350088+765975</f>
        <v>6116063</v>
      </c>
      <c r="H696" s="2197">
        <v>6116061.3399999999</v>
      </c>
      <c r="I696" s="1769">
        <f t="shared" ref="I696:I759" si="151">H696/G696</f>
        <v>0.99999972858356756</v>
      </c>
    </row>
    <row r="697" spans="1:9" ht="15.75" customHeight="1">
      <c r="A697" s="1614"/>
      <c r="B697" s="1684"/>
      <c r="C697" s="2194" t="s">
        <v>892</v>
      </c>
      <c r="D697" s="2195" t="s">
        <v>795</v>
      </c>
      <c r="E697" s="2196">
        <f>1601049+227028</f>
        <v>1828077</v>
      </c>
      <c r="F697" s="2196">
        <v>1159151</v>
      </c>
      <c r="G697" s="2190">
        <f>944135+135172</f>
        <v>1079307</v>
      </c>
      <c r="H697" s="2197">
        <v>1079304.97</v>
      </c>
      <c r="I697" s="1769">
        <f t="shared" si="151"/>
        <v>0.99999811916350023</v>
      </c>
    </row>
    <row r="698" spans="1:9" ht="51" hidden="1">
      <c r="A698" s="1614"/>
      <c r="B698" s="1684"/>
      <c r="C698" s="2198" t="s">
        <v>870</v>
      </c>
      <c r="D698" s="2199" t="s">
        <v>877</v>
      </c>
      <c r="E698" s="2196">
        <v>90564</v>
      </c>
      <c r="F698" s="2196"/>
      <c r="G698" s="2190"/>
      <c r="H698" s="2197"/>
      <c r="I698" s="1769" t="e">
        <f t="shared" si="151"/>
        <v>#DIV/0!</v>
      </c>
    </row>
    <row r="699" spans="1:9" ht="66" customHeight="1" thickBot="1">
      <c r="A699" s="1614"/>
      <c r="B699" s="1684"/>
      <c r="C699" s="2198" t="s">
        <v>894</v>
      </c>
      <c r="D699" s="2163" t="s">
        <v>874</v>
      </c>
      <c r="E699" s="2200">
        <v>26284038</v>
      </c>
      <c r="F699" s="2200">
        <v>3301439</v>
      </c>
      <c r="G699" s="2190">
        <v>1258937</v>
      </c>
      <c r="H699" s="2197">
        <v>1258768.21</v>
      </c>
      <c r="I699" s="1769">
        <f t="shared" si="151"/>
        <v>0.99986592657138518</v>
      </c>
    </row>
    <row r="700" spans="1:9" ht="54.75" hidden="1" customHeight="1" thickBot="1">
      <c r="A700" s="1614"/>
      <c r="B700" s="1684"/>
      <c r="C700" s="1900" t="s">
        <v>906</v>
      </c>
      <c r="D700" s="2201" t="s">
        <v>800</v>
      </c>
      <c r="E700" s="1678">
        <v>18416</v>
      </c>
      <c r="F700" s="1678">
        <v>0</v>
      </c>
      <c r="G700" s="2190">
        <v>0</v>
      </c>
      <c r="H700" s="2197">
        <v>0</v>
      </c>
      <c r="I700" s="1725" t="e">
        <f t="shared" si="151"/>
        <v>#DIV/0!</v>
      </c>
    </row>
    <row r="701" spans="1:9" ht="16.5" customHeight="1" thickBot="1">
      <c r="A701" s="1819" t="s">
        <v>950</v>
      </c>
      <c r="B701" s="2112"/>
      <c r="C701" s="2113"/>
      <c r="D701" s="2114" t="s">
        <v>951</v>
      </c>
      <c r="E701" s="2115">
        <f>E702+E715+E706</f>
        <v>3472493</v>
      </c>
      <c r="F701" s="2115">
        <f>F702+F715+F706</f>
        <v>1351648</v>
      </c>
      <c r="G701" s="2116">
        <f t="shared" ref="G701:H701" si="152">G702+G715+G706</f>
        <v>2939416</v>
      </c>
      <c r="H701" s="2117">
        <f t="shared" si="152"/>
        <v>2015972.26</v>
      </c>
      <c r="I701" s="1826">
        <f t="shared" si="151"/>
        <v>0.68584108544010103</v>
      </c>
    </row>
    <row r="702" spans="1:9" ht="17.100000000000001" hidden="1" customHeight="1" thickBot="1">
      <c r="A702" s="2202"/>
      <c r="B702" s="1726" t="s">
        <v>952</v>
      </c>
      <c r="C702" s="1727"/>
      <c r="D702" s="1728" t="s">
        <v>953</v>
      </c>
      <c r="E702" s="1729">
        <f>E703</f>
        <v>0</v>
      </c>
      <c r="F702" s="1729">
        <f t="shared" ref="F702:H703" si="153">F703</f>
        <v>0</v>
      </c>
      <c r="G702" s="1730">
        <f t="shared" si="153"/>
        <v>0</v>
      </c>
      <c r="H702" s="1731">
        <f t="shared" si="153"/>
        <v>0</v>
      </c>
      <c r="I702" s="2203" t="e">
        <f t="shared" si="151"/>
        <v>#DIV/0!</v>
      </c>
    </row>
    <row r="703" spans="1:9" ht="17.100000000000001" hidden="1" customHeight="1">
      <c r="A703" s="2202"/>
      <c r="B703" s="2204"/>
      <c r="C703" s="4871" t="s">
        <v>760</v>
      </c>
      <c r="D703" s="4871"/>
      <c r="E703" s="2205">
        <f>E704</f>
        <v>0</v>
      </c>
      <c r="F703" s="2205">
        <f>F704</f>
        <v>0</v>
      </c>
      <c r="G703" s="2206">
        <f t="shared" si="153"/>
        <v>0</v>
      </c>
      <c r="H703" s="2207">
        <f t="shared" si="153"/>
        <v>0</v>
      </c>
      <c r="I703" s="2203" t="e">
        <f t="shared" si="151"/>
        <v>#DIV/0!</v>
      </c>
    </row>
    <row r="704" spans="1:9" ht="17.100000000000001" hidden="1" customHeight="1">
      <c r="A704" s="2202"/>
      <c r="B704" s="2208"/>
      <c r="C704" s="4948" t="s">
        <v>838</v>
      </c>
      <c r="D704" s="4948"/>
      <c r="E704" s="2209">
        <f>E705</f>
        <v>0</v>
      </c>
      <c r="F704" s="2209">
        <f t="shared" ref="F704:H704" si="154">F705</f>
        <v>0</v>
      </c>
      <c r="G704" s="2210">
        <f t="shared" si="154"/>
        <v>0</v>
      </c>
      <c r="H704" s="2211">
        <f t="shared" si="154"/>
        <v>0</v>
      </c>
      <c r="I704" s="2203" t="e">
        <f t="shared" si="151"/>
        <v>#DIV/0!</v>
      </c>
    </row>
    <row r="705" spans="1:9" ht="43.5" hidden="1" customHeight="1" thickBot="1">
      <c r="A705" s="2202"/>
      <c r="B705" s="2212"/>
      <c r="C705" s="2213" t="s">
        <v>44</v>
      </c>
      <c r="D705" s="1920" t="s">
        <v>915</v>
      </c>
      <c r="E705" s="2096"/>
      <c r="F705" s="2096"/>
      <c r="G705" s="2214"/>
      <c r="H705" s="2215"/>
      <c r="I705" s="2203" t="e">
        <f t="shared" si="151"/>
        <v>#DIV/0!</v>
      </c>
    </row>
    <row r="706" spans="1:9" ht="20.25" customHeight="1" thickBot="1">
      <c r="A706" s="2202"/>
      <c r="B706" s="1726" t="s">
        <v>954</v>
      </c>
      <c r="C706" s="1727"/>
      <c r="D706" s="1728" t="s">
        <v>506</v>
      </c>
      <c r="E706" s="1729">
        <f>E707</f>
        <v>219000</v>
      </c>
      <c r="F706" s="1729">
        <f t="shared" ref="F706:H706" si="155">F707</f>
        <v>219000</v>
      </c>
      <c r="G706" s="1730">
        <f t="shared" si="155"/>
        <v>219000</v>
      </c>
      <c r="H706" s="1731">
        <f t="shared" si="155"/>
        <v>132877</v>
      </c>
      <c r="I706" s="1732">
        <f t="shared" si="151"/>
        <v>0.60674429223744297</v>
      </c>
    </row>
    <row r="707" spans="1:9" ht="18.75" customHeight="1">
      <c r="A707" s="2202"/>
      <c r="B707" s="4949"/>
      <c r="C707" s="4871" t="s">
        <v>760</v>
      </c>
      <c r="D707" s="4871"/>
      <c r="E707" s="1615">
        <f>E708+E714</f>
        <v>219000</v>
      </c>
      <c r="F707" s="1615">
        <f>F708+F714</f>
        <v>219000</v>
      </c>
      <c r="G707" s="1616">
        <f t="shared" ref="G707:H707" si="156">G708+G714</f>
        <v>219000</v>
      </c>
      <c r="H707" s="1617">
        <f t="shared" si="156"/>
        <v>132877</v>
      </c>
      <c r="I707" s="1769">
        <f t="shared" si="151"/>
        <v>0.60674429223744297</v>
      </c>
    </row>
    <row r="708" spans="1:9" ht="18" customHeight="1">
      <c r="A708" s="2202"/>
      <c r="B708" s="4755"/>
      <c r="C708" s="4942" t="s">
        <v>761</v>
      </c>
      <c r="D708" s="4942"/>
      <c r="E708" s="1661">
        <f>E709</f>
        <v>19000</v>
      </c>
      <c r="F708" s="1661">
        <f>F709</f>
        <v>19000</v>
      </c>
      <c r="G708" s="1760">
        <f t="shared" ref="G708:H708" si="157">G709</f>
        <v>19000</v>
      </c>
      <c r="H708" s="1663">
        <f t="shared" si="157"/>
        <v>7877</v>
      </c>
      <c r="I708" s="1769">
        <f t="shared" si="151"/>
        <v>0.41457894736842105</v>
      </c>
    </row>
    <row r="709" spans="1:9" ht="20.25" customHeight="1">
      <c r="A709" s="2202"/>
      <c r="B709" s="4755"/>
      <c r="C709" s="4943" t="s">
        <v>769</v>
      </c>
      <c r="D709" s="4943"/>
      <c r="E709" s="1661">
        <f>E710+E711</f>
        <v>19000</v>
      </c>
      <c r="F709" s="1942">
        <f>F710+F711</f>
        <v>19000</v>
      </c>
      <c r="G709" s="1943">
        <f t="shared" ref="G709:H709" si="158">G710+G711</f>
        <v>19000</v>
      </c>
      <c r="H709" s="1944">
        <f t="shared" si="158"/>
        <v>7877</v>
      </c>
      <c r="I709" s="1783">
        <f t="shared" si="151"/>
        <v>0.41457894736842105</v>
      </c>
    </row>
    <row r="710" spans="1:9" ht="18" customHeight="1">
      <c r="A710" s="2202"/>
      <c r="B710" s="4755"/>
      <c r="C710" s="2171" t="s">
        <v>23</v>
      </c>
      <c r="D710" s="2172" t="s">
        <v>776</v>
      </c>
      <c r="E710" s="1661">
        <v>4000</v>
      </c>
      <c r="F710" s="1661">
        <v>4000</v>
      </c>
      <c r="G710" s="2190">
        <v>6460</v>
      </c>
      <c r="H710" s="1925">
        <v>2460</v>
      </c>
      <c r="I710" s="1769">
        <f t="shared" si="151"/>
        <v>0.38080495356037153</v>
      </c>
    </row>
    <row r="711" spans="1:9" ht="18" customHeight="1">
      <c r="A711" s="2202"/>
      <c r="B711" s="4755"/>
      <c r="C711" s="1690" t="s">
        <v>848</v>
      </c>
      <c r="D711" s="1691" t="s">
        <v>849</v>
      </c>
      <c r="E711" s="1661">
        <v>15000</v>
      </c>
      <c r="F711" s="1661">
        <v>15000</v>
      </c>
      <c r="G711" s="2190">
        <v>12540</v>
      </c>
      <c r="H711" s="1925">
        <v>5417</v>
      </c>
      <c r="I711" s="1769">
        <f t="shared" si="151"/>
        <v>0.43197767145135568</v>
      </c>
    </row>
    <row r="712" spans="1:9" ht="18" customHeight="1">
      <c r="A712" s="2202"/>
      <c r="B712" s="4755"/>
      <c r="C712" s="4950"/>
      <c r="D712" s="4951"/>
      <c r="E712" s="1923"/>
      <c r="F712" s="1923"/>
      <c r="G712" s="2216"/>
      <c r="H712" s="1925"/>
      <c r="I712" s="1769"/>
    </row>
    <row r="713" spans="1:9" ht="18" customHeight="1">
      <c r="A713" s="2202"/>
      <c r="B713" s="4755"/>
      <c r="C713" s="4952" t="s">
        <v>791</v>
      </c>
      <c r="D713" s="4953"/>
      <c r="E713" s="1668">
        <f>E714</f>
        <v>200000</v>
      </c>
      <c r="F713" s="1668">
        <f>F714</f>
        <v>200000</v>
      </c>
      <c r="G713" s="2134">
        <f t="shared" ref="G713:H713" si="159">G714</f>
        <v>200000</v>
      </c>
      <c r="H713" s="1818">
        <f t="shared" si="159"/>
        <v>125000</v>
      </c>
      <c r="I713" s="1769">
        <f t="shared" si="151"/>
        <v>0.625</v>
      </c>
    </row>
    <row r="714" spans="1:9" ht="15" customHeight="1" thickBot="1">
      <c r="A714" s="2217"/>
      <c r="B714" s="4758"/>
      <c r="C714" s="2213" t="s">
        <v>955</v>
      </c>
      <c r="D714" s="1920" t="s">
        <v>956</v>
      </c>
      <c r="E714" s="2096">
        <v>200000</v>
      </c>
      <c r="F714" s="2096">
        <v>200000</v>
      </c>
      <c r="G714" s="2218">
        <v>200000</v>
      </c>
      <c r="H714" s="1747">
        <v>125000</v>
      </c>
      <c r="I714" s="1651">
        <f t="shared" si="151"/>
        <v>0.625</v>
      </c>
    </row>
    <row r="715" spans="1:9" ht="17.100000000000001" customHeight="1" thickBot="1">
      <c r="A715" s="2219"/>
      <c r="B715" s="1726" t="s">
        <v>957</v>
      </c>
      <c r="C715" s="1727"/>
      <c r="D715" s="1728" t="s">
        <v>95</v>
      </c>
      <c r="E715" s="1729">
        <f>SUM(E716+E766)</f>
        <v>3253493</v>
      </c>
      <c r="F715" s="1729">
        <f t="shared" ref="F715:H715" si="160">SUM(F716+F766)</f>
        <v>1132648</v>
      </c>
      <c r="G715" s="1730">
        <f>SUM(G716+G766)</f>
        <v>2720416</v>
      </c>
      <c r="H715" s="1731">
        <f t="shared" si="160"/>
        <v>1883095.26</v>
      </c>
      <c r="I715" s="1732">
        <f t="shared" si="151"/>
        <v>0.69220856663098584</v>
      </c>
    </row>
    <row r="716" spans="1:9" ht="17.100000000000001" customHeight="1">
      <c r="A716" s="1614"/>
      <c r="B716" s="1779"/>
      <c r="C716" s="4871" t="s">
        <v>760</v>
      </c>
      <c r="D716" s="4871"/>
      <c r="E716" s="1615">
        <f>E717+E721+E727</f>
        <v>1591492</v>
      </c>
      <c r="F716" s="1615">
        <f>F717+F721+F727</f>
        <v>1125448</v>
      </c>
      <c r="G716" s="1616">
        <f t="shared" ref="G716:H716" si="161">G717+G721+G727</f>
        <v>1689216</v>
      </c>
      <c r="H716" s="1617">
        <f t="shared" si="161"/>
        <v>879448.26</v>
      </c>
      <c r="I716" s="1780">
        <f t="shared" si="151"/>
        <v>0.52062510655830874</v>
      </c>
    </row>
    <row r="717" spans="1:9" ht="17.100000000000001" customHeight="1">
      <c r="A717" s="1614"/>
      <c r="B717" s="1779"/>
      <c r="C717" s="4942" t="s">
        <v>761</v>
      </c>
      <c r="D717" s="4942"/>
      <c r="E717" s="1615">
        <f>E718</f>
        <v>0</v>
      </c>
      <c r="F717" s="1615">
        <f>F718</f>
        <v>150000</v>
      </c>
      <c r="G717" s="1616">
        <f t="shared" ref="G717:H718" si="162">G718</f>
        <v>0</v>
      </c>
      <c r="H717" s="1617">
        <f t="shared" si="162"/>
        <v>0</v>
      </c>
      <c r="I717" s="1769"/>
    </row>
    <row r="718" spans="1:9" ht="17.100000000000001" customHeight="1">
      <c r="A718" s="1614"/>
      <c r="B718" s="1779"/>
      <c r="C718" s="4943" t="s">
        <v>769</v>
      </c>
      <c r="D718" s="4943"/>
      <c r="E718" s="1661">
        <f>E719</f>
        <v>0</v>
      </c>
      <c r="F718" s="1942">
        <f>F719</f>
        <v>150000</v>
      </c>
      <c r="G718" s="1943">
        <f t="shared" si="162"/>
        <v>0</v>
      </c>
      <c r="H718" s="1944">
        <f t="shared" si="162"/>
        <v>0</v>
      </c>
      <c r="I718" s="1769"/>
    </row>
    <row r="719" spans="1:9" ht="17.100000000000001" customHeight="1">
      <c r="A719" s="1614"/>
      <c r="B719" s="1779"/>
      <c r="C719" s="2171" t="s">
        <v>23</v>
      </c>
      <c r="D719" s="2172" t="s">
        <v>776</v>
      </c>
      <c r="E719" s="1661">
        <v>0</v>
      </c>
      <c r="F719" s="1661">
        <v>150000</v>
      </c>
      <c r="G719" s="2190">
        <v>0</v>
      </c>
      <c r="H719" s="1925">
        <v>0</v>
      </c>
      <c r="I719" s="1769"/>
    </row>
    <row r="720" spans="1:9" ht="17.100000000000001" customHeight="1">
      <c r="A720" s="1638"/>
      <c r="B720" s="1779"/>
      <c r="C720" s="2220"/>
      <c r="D720" s="2220"/>
      <c r="E720" s="1615"/>
      <c r="F720" s="1615"/>
      <c r="G720" s="2190"/>
      <c r="H720" s="2197"/>
      <c r="I720" s="1769"/>
    </row>
    <row r="721" spans="1:9" ht="17.100000000000001" customHeight="1">
      <c r="A721" s="1638"/>
      <c r="B721" s="1779"/>
      <c r="C721" s="4944" t="s">
        <v>838</v>
      </c>
      <c r="D721" s="4945"/>
      <c r="E721" s="2221">
        <f>E722+E723+E724+E725</f>
        <v>325000</v>
      </c>
      <c r="F721" s="2221">
        <f>F722+F723+F724+F725</f>
        <v>50000</v>
      </c>
      <c r="G721" s="2222">
        <f t="shared" ref="G721:H721" si="163">G722+G723+G724+G725</f>
        <v>50000</v>
      </c>
      <c r="H721" s="2197">
        <f t="shared" si="163"/>
        <v>27562.25</v>
      </c>
      <c r="I721" s="2223">
        <f t="shared" si="151"/>
        <v>0.55124499999999999</v>
      </c>
    </row>
    <row r="722" spans="1:9" ht="24" hidden="1" customHeight="1">
      <c r="A722" s="1638"/>
      <c r="B722" s="1779"/>
      <c r="C722" s="1659" t="s">
        <v>958</v>
      </c>
      <c r="D722" s="2037" t="s">
        <v>959</v>
      </c>
      <c r="E722" s="1661">
        <v>2000</v>
      </c>
      <c r="F722" s="1661">
        <v>0</v>
      </c>
      <c r="G722" s="1881"/>
      <c r="H722" s="1663"/>
      <c r="I722" s="1769" t="e">
        <f t="shared" si="151"/>
        <v>#DIV/0!</v>
      </c>
    </row>
    <row r="723" spans="1:9" ht="28.5" hidden="1" customHeight="1">
      <c r="A723" s="1638"/>
      <c r="B723" s="1779"/>
      <c r="C723" s="2224" t="s">
        <v>960</v>
      </c>
      <c r="D723" s="2037" t="s">
        <v>961</v>
      </c>
      <c r="E723" s="1661">
        <v>148000</v>
      </c>
      <c r="F723" s="1661">
        <v>0</v>
      </c>
      <c r="G723" s="2225"/>
      <c r="H723" s="2226"/>
      <c r="I723" s="1769" t="e">
        <f t="shared" si="151"/>
        <v>#DIV/0!</v>
      </c>
    </row>
    <row r="724" spans="1:9" ht="53.25" customHeight="1">
      <c r="A724" s="1638"/>
      <c r="B724" s="1779"/>
      <c r="C724" s="2224" t="s">
        <v>44</v>
      </c>
      <c r="D724" s="2037" t="s">
        <v>850</v>
      </c>
      <c r="E724" s="1661">
        <v>50000</v>
      </c>
      <c r="F724" s="1661">
        <v>50000</v>
      </c>
      <c r="G724" s="2225">
        <v>50000</v>
      </c>
      <c r="H724" s="2197">
        <v>27562.25</v>
      </c>
      <c r="I724" s="1769">
        <f t="shared" si="151"/>
        <v>0.55124499999999999</v>
      </c>
    </row>
    <row r="725" spans="1:9" ht="28.5" hidden="1" customHeight="1">
      <c r="A725" s="1614"/>
      <c r="B725" s="1779"/>
      <c r="C725" s="2227" t="s">
        <v>100</v>
      </c>
      <c r="D725" s="2037" t="s">
        <v>897</v>
      </c>
      <c r="E725" s="1661">
        <v>125000</v>
      </c>
      <c r="F725" s="1661">
        <v>0</v>
      </c>
      <c r="G725" s="2225"/>
      <c r="H725" s="2197"/>
      <c r="I725" s="1769" t="e">
        <f t="shared" si="151"/>
        <v>#DIV/0!</v>
      </c>
    </row>
    <row r="726" spans="1:9" ht="17.100000000000001" customHeight="1">
      <c r="A726" s="1614"/>
      <c r="B726" s="1779"/>
      <c r="C726" s="1907"/>
      <c r="D726" s="1907"/>
      <c r="E726" s="1615"/>
      <c r="F726" s="1615"/>
      <c r="G726" s="2225"/>
      <c r="H726" s="2197"/>
      <c r="I726" s="1769"/>
    </row>
    <row r="727" spans="1:9" ht="24.75" customHeight="1">
      <c r="A727" s="1614"/>
      <c r="B727" s="1779"/>
      <c r="C727" s="4942" t="s">
        <v>803</v>
      </c>
      <c r="D727" s="4942"/>
      <c r="E727" s="1923">
        <f>SUM(E728:E764)</f>
        <v>1266492</v>
      </c>
      <c r="F727" s="1923">
        <f>SUM(F728:F764)</f>
        <v>925448</v>
      </c>
      <c r="G727" s="2222">
        <f>SUM(G728:G764)</f>
        <v>1639216</v>
      </c>
      <c r="H727" s="1925">
        <f t="shared" ref="H727" si="164">SUM(H728:H764)</f>
        <v>851886.01</v>
      </c>
      <c r="I727" s="1769">
        <f t="shared" si="151"/>
        <v>0.51969112673375562</v>
      </c>
    </row>
    <row r="728" spans="1:9" ht="53.25" hidden="1" customHeight="1">
      <c r="A728" s="1614"/>
      <c r="B728" s="1684"/>
      <c r="C728" s="2228" t="s">
        <v>495</v>
      </c>
      <c r="D728" s="2229" t="s">
        <v>857</v>
      </c>
      <c r="E728" s="1923">
        <v>596</v>
      </c>
      <c r="F728" s="1923">
        <v>0</v>
      </c>
      <c r="G728" s="2190">
        <v>0</v>
      </c>
      <c r="H728" s="1925">
        <v>0</v>
      </c>
      <c r="I728" s="1769" t="e">
        <f t="shared" si="151"/>
        <v>#DIV/0!</v>
      </c>
    </row>
    <row r="729" spans="1:9" hidden="1">
      <c r="A729" s="1614"/>
      <c r="B729" s="1684"/>
      <c r="C729" s="2228" t="s">
        <v>675</v>
      </c>
      <c r="D729" s="2229" t="s">
        <v>858</v>
      </c>
      <c r="E729" s="1923">
        <v>37023</v>
      </c>
      <c r="F729" s="1923">
        <v>0</v>
      </c>
      <c r="G729" s="2190">
        <v>0</v>
      </c>
      <c r="H729" s="1925">
        <v>0</v>
      </c>
      <c r="I729" s="1769" t="e">
        <f t="shared" si="151"/>
        <v>#DIV/0!</v>
      </c>
    </row>
    <row r="730" spans="1:9" ht="17.25" customHeight="1">
      <c r="A730" s="1614"/>
      <c r="B730" s="1684"/>
      <c r="C730" s="2228" t="s">
        <v>859</v>
      </c>
      <c r="D730" s="2230" t="s">
        <v>763</v>
      </c>
      <c r="E730" s="1923">
        <v>100141</v>
      </c>
      <c r="F730" s="1923">
        <v>48054</v>
      </c>
      <c r="G730" s="2190">
        <v>366414</v>
      </c>
      <c r="H730" s="1925">
        <v>331295.57</v>
      </c>
      <c r="I730" s="1769">
        <f t="shared" si="151"/>
        <v>0.90415641869579222</v>
      </c>
    </row>
    <row r="731" spans="1:9" ht="17.100000000000001" customHeight="1">
      <c r="A731" s="1614"/>
      <c r="B731" s="1684"/>
      <c r="C731" s="2231" t="s">
        <v>807</v>
      </c>
      <c r="D731" s="2230" t="s">
        <v>763</v>
      </c>
      <c r="E731" s="1923">
        <f>31296+51072</f>
        <v>82368</v>
      </c>
      <c r="F731" s="1923">
        <v>48102</v>
      </c>
      <c r="G731" s="2190">
        <v>30154</v>
      </c>
      <c r="H731" s="1925">
        <v>24334.35</v>
      </c>
      <c r="I731" s="1769">
        <f t="shared" si="151"/>
        <v>0.80700238774291966</v>
      </c>
    </row>
    <row r="732" spans="1:9" ht="17.100000000000001" customHeight="1">
      <c r="A732" s="1614"/>
      <c r="B732" s="1684"/>
      <c r="C732" s="2231" t="s">
        <v>808</v>
      </c>
      <c r="D732" s="2230" t="s">
        <v>763</v>
      </c>
      <c r="E732" s="1923">
        <f>5523+9013</f>
        <v>14536</v>
      </c>
      <c r="F732" s="1923">
        <v>8489</v>
      </c>
      <c r="G732" s="2190">
        <v>5322</v>
      </c>
      <c r="H732" s="1925">
        <v>4294.3</v>
      </c>
      <c r="I732" s="1769">
        <f t="shared" si="151"/>
        <v>0.80689590379556564</v>
      </c>
    </row>
    <row r="733" spans="1:9" ht="17.100000000000001" hidden="1" customHeight="1">
      <c r="A733" s="1614"/>
      <c r="B733" s="1684"/>
      <c r="C733" s="2231" t="s">
        <v>809</v>
      </c>
      <c r="D733" s="2230" t="s">
        <v>764</v>
      </c>
      <c r="E733" s="1923">
        <v>2295</v>
      </c>
      <c r="F733" s="1923"/>
      <c r="G733" s="2190"/>
      <c r="H733" s="1925"/>
      <c r="I733" s="1769" t="e">
        <f t="shared" si="151"/>
        <v>#DIV/0!</v>
      </c>
    </row>
    <row r="734" spans="1:9" ht="17.100000000000001" hidden="1" customHeight="1">
      <c r="A734" s="1614"/>
      <c r="B734" s="1684"/>
      <c r="C734" s="2231" t="s">
        <v>810</v>
      </c>
      <c r="D734" s="2230" t="s">
        <v>764</v>
      </c>
      <c r="E734" s="1923">
        <v>405</v>
      </c>
      <c r="F734" s="1923"/>
      <c r="G734" s="2190"/>
      <c r="H734" s="1925"/>
      <c r="I734" s="1769" t="e">
        <f t="shared" si="151"/>
        <v>#DIV/0!</v>
      </c>
    </row>
    <row r="735" spans="1:9" ht="17.100000000000001" customHeight="1">
      <c r="A735" s="1614"/>
      <c r="B735" s="1684"/>
      <c r="C735" s="2231" t="s">
        <v>861</v>
      </c>
      <c r="D735" s="2230" t="s">
        <v>765</v>
      </c>
      <c r="E735" s="1923">
        <v>17405</v>
      </c>
      <c r="F735" s="1923">
        <v>8187</v>
      </c>
      <c r="G735" s="2190">
        <f>62377</f>
        <v>62377</v>
      </c>
      <c r="H735" s="1925">
        <v>53942.400000000001</v>
      </c>
      <c r="I735" s="1769">
        <f t="shared" si="151"/>
        <v>0.86478028760600867</v>
      </c>
    </row>
    <row r="736" spans="1:9" ht="17.100000000000001" customHeight="1">
      <c r="A736" s="1614"/>
      <c r="B736" s="1684"/>
      <c r="C736" s="2231" t="s">
        <v>811</v>
      </c>
      <c r="D736" s="2230" t="s">
        <v>765</v>
      </c>
      <c r="E736" s="1923">
        <f>5986+8876</f>
        <v>14862</v>
      </c>
      <c r="F736" s="1923">
        <v>8268</v>
      </c>
      <c r="G736" s="2190">
        <v>5182</v>
      </c>
      <c r="H736" s="1925">
        <v>4161.3900000000003</v>
      </c>
      <c r="I736" s="1769">
        <f t="shared" si="151"/>
        <v>0.80304708606715558</v>
      </c>
    </row>
    <row r="737" spans="1:9" ht="17.100000000000001" customHeight="1">
      <c r="A737" s="1614"/>
      <c r="B737" s="1684"/>
      <c r="C737" s="2231" t="s">
        <v>812</v>
      </c>
      <c r="D737" s="2230" t="s">
        <v>765</v>
      </c>
      <c r="E737" s="1923">
        <f>1056+1567</f>
        <v>2623</v>
      </c>
      <c r="F737" s="1923">
        <v>1460</v>
      </c>
      <c r="G737" s="2190">
        <v>916</v>
      </c>
      <c r="H737" s="1925">
        <v>734.4</v>
      </c>
      <c r="I737" s="1769">
        <f t="shared" si="151"/>
        <v>0.80174672489082965</v>
      </c>
    </row>
    <row r="738" spans="1:9" ht="27.75" customHeight="1">
      <c r="A738" s="1614"/>
      <c r="B738" s="1684"/>
      <c r="C738" s="2231" t="s">
        <v>862</v>
      </c>
      <c r="D738" s="2230" t="s">
        <v>766</v>
      </c>
      <c r="E738" s="1923">
        <v>2454</v>
      </c>
      <c r="F738" s="1923">
        <v>1166</v>
      </c>
      <c r="G738" s="2190">
        <f>12147</f>
        <v>12147</v>
      </c>
      <c r="H738" s="1925">
        <v>7689.24</v>
      </c>
      <c r="I738" s="1769">
        <f t="shared" si="151"/>
        <v>0.63301555939738208</v>
      </c>
    </row>
    <row r="739" spans="1:9" ht="30" customHeight="1">
      <c r="A739" s="1614"/>
      <c r="B739" s="1684"/>
      <c r="C739" s="2231" t="s">
        <v>813</v>
      </c>
      <c r="D739" s="2230" t="s">
        <v>766</v>
      </c>
      <c r="E739" s="1923">
        <f>844+1251</f>
        <v>2095</v>
      </c>
      <c r="F739" s="1923">
        <v>1179</v>
      </c>
      <c r="G739" s="2190">
        <f>738</f>
        <v>738</v>
      </c>
      <c r="H739" s="1925">
        <v>348.88</v>
      </c>
      <c r="I739" s="1769">
        <f t="shared" si="151"/>
        <v>0.47273712737127371</v>
      </c>
    </row>
    <row r="740" spans="1:9" ht="28.5" customHeight="1">
      <c r="A740" s="1614"/>
      <c r="B740" s="1684"/>
      <c r="C740" s="2231" t="s">
        <v>814</v>
      </c>
      <c r="D740" s="2230" t="s">
        <v>766</v>
      </c>
      <c r="E740" s="1923">
        <f>149+1702</f>
        <v>1851</v>
      </c>
      <c r="F740" s="1923">
        <v>207</v>
      </c>
      <c r="G740" s="2190">
        <f>130</f>
        <v>130</v>
      </c>
      <c r="H740" s="1925">
        <v>61.54</v>
      </c>
      <c r="I740" s="1769">
        <f t="shared" si="151"/>
        <v>0.4733846153846154</v>
      </c>
    </row>
    <row r="741" spans="1:9" ht="17.100000000000001" customHeight="1">
      <c r="A741" s="1614"/>
      <c r="B741" s="1627"/>
      <c r="C741" s="2232" t="s">
        <v>962</v>
      </c>
      <c r="D741" s="2230" t="s">
        <v>767</v>
      </c>
      <c r="E741" s="1923">
        <v>240000</v>
      </c>
      <c r="F741" s="1923">
        <v>150000</v>
      </c>
      <c r="G741" s="2190">
        <f>150000</f>
        <v>150000</v>
      </c>
      <c r="H741" s="1925">
        <v>40500</v>
      </c>
      <c r="I741" s="1769">
        <f t="shared" si="151"/>
        <v>0.27</v>
      </c>
    </row>
    <row r="742" spans="1:9" ht="17.100000000000001" hidden="1" customHeight="1">
      <c r="A742" s="1614"/>
      <c r="B742" s="1627"/>
      <c r="C742" s="2232" t="s">
        <v>815</v>
      </c>
      <c r="D742" s="2230" t="s">
        <v>767</v>
      </c>
      <c r="E742" s="1923">
        <v>300</v>
      </c>
      <c r="F742" s="1923">
        <v>0</v>
      </c>
      <c r="G742" s="2190">
        <v>0</v>
      </c>
      <c r="H742" s="1925">
        <v>0</v>
      </c>
      <c r="I742" s="1769" t="e">
        <f t="shared" si="151"/>
        <v>#DIV/0!</v>
      </c>
    </row>
    <row r="743" spans="1:9" ht="17.100000000000001" hidden="1" customHeight="1">
      <c r="A743" s="1614"/>
      <c r="B743" s="1627"/>
      <c r="C743" s="2232" t="s">
        <v>816</v>
      </c>
      <c r="D743" s="2230" t="s">
        <v>767</v>
      </c>
      <c r="E743" s="1923">
        <v>221</v>
      </c>
      <c r="F743" s="1923">
        <v>0</v>
      </c>
      <c r="G743" s="2190">
        <v>0</v>
      </c>
      <c r="H743" s="1925">
        <v>0</v>
      </c>
      <c r="I743" s="1769" t="e">
        <f t="shared" si="151"/>
        <v>#DIV/0!</v>
      </c>
    </row>
    <row r="744" spans="1:9" ht="17.100000000000001" customHeight="1">
      <c r="A744" s="1614"/>
      <c r="B744" s="1627"/>
      <c r="C744" s="2232" t="s">
        <v>863</v>
      </c>
      <c r="D744" s="2230" t="s">
        <v>771</v>
      </c>
      <c r="E744" s="1923">
        <v>0</v>
      </c>
      <c r="F744" s="1923">
        <v>0</v>
      </c>
      <c r="G744" s="2190">
        <f>100000</f>
        <v>100000</v>
      </c>
      <c r="H744" s="1925">
        <v>66790.600000000006</v>
      </c>
      <c r="I744" s="1769">
        <f t="shared" si="151"/>
        <v>0.66790600000000011</v>
      </c>
    </row>
    <row r="745" spans="1:9" ht="17.100000000000001" customHeight="1">
      <c r="A745" s="1614"/>
      <c r="B745" s="1627"/>
      <c r="C745" s="2232" t="s">
        <v>820</v>
      </c>
      <c r="D745" s="2230" t="s">
        <v>771</v>
      </c>
      <c r="E745" s="1923">
        <v>9180</v>
      </c>
      <c r="F745" s="1923">
        <v>425</v>
      </c>
      <c r="G745" s="2190">
        <f>425</f>
        <v>425</v>
      </c>
      <c r="H745" s="1925">
        <v>0</v>
      </c>
      <c r="I745" s="1769">
        <f t="shared" si="151"/>
        <v>0</v>
      </c>
    </row>
    <row r="746" spans="1:9" ht="17.100000000000001" customHeight="1">
      <c r="A746" s="1614"/>
      <c r="B746" s="1627"/>
      <c r="C746" s="2232" t="s">
        <v>821</v>
      </c>
      <c r="D746" s="2230" t="s">
        <v>771</v>
      </c>
      <c r="E746" s="1923">
        <v>1620</v>
      </c>
      <c r="F746" s="1923">
        <v>75</v>
      </c>
      <c r="G746" s="2190">
        <f>75</f>
        <v>75</v>
      </c>
      <c r="H746" s="1925">
        <v>0</v>
      </c>
      <c r="I746" s="1769">
        <f t="shared" si="151"/>
        <v>0</v>
      </c>
    </row>
    <row r="747" spans="1:9" ht="17.100000000000001" customHeight="1" thickBot="1">
      <c r="A747" s="1644"/>
      <c r="B747" s="1645"/>
      <c r="C747" s="2179" t="s">
        <v>864</v>
      </c>
      <c r="D747" s="2180" t="s">
        <v>776</v>
      </c>
      <c r="E747" s="1678">
        <v>490000</v>
      </c>
      <c r="F747" s="1678">
        <v>350000</v>
      </c>
      <c r="G747" s="1921">
        <f>500000</f>
        <v>500000</v>
      </c>
      <c r="H747" s="1747">
        <v>97368.6</v>
      </c>
      <c r="I747" s="1651">
        <f t="shared" si="151"/>
        <v>0.1947372</v>
      </c>
    </row>
    <row r="748" spans="1:9" ht="17.100000000000001" customHeight="1">
      <c r="A748" s="1614"/>
      <c r="B748" s="1627"/>
      <c r="C748" s="1695" t="s">
        <v>824</v>
      </c>
      <c r="D748" s="1696" t="s">
        <v>776</v>
      </c>
      <c r="E748" s="1668">
        <f>5100+51850</f>
        <v>56950</v>
      </c>
      <c r="F748" s="1668">
        <v>11050</v>
      </c>
      <c r="G748" s="2233">
        <f>29750</f>
        <v>29750</v>
      </c>
      <c r="H748" s="1818">
        <v>1130.5</v>
      </c>
      <c r="I748" s="1725">
        <f t="shared" si="151"/>
        <v>3.7999999999999999E-2</v>
      </c>
    </row>
    <row r="749" spans="1:9" ht="17.100000000000001" customHeight="1">
      <c r="A749" s="1614"/>
      <c r="B749" s="1627"/>
      <c r="C749" s="2060" t="s">
        <v>825</v>
      </c>
      <c r="D749" s="2109" t="s">
        <v>776</v>
      </c>
      <c r="E749" s="1923">
        <f>900+9150</f>
        <v>10050</v>
      </c>
      <c r="F749" s="1923">
        <v>1950</v>
      </c>
      <c r="G749" s="2216">
        <f>5250</f>
        <v>5250</v>
      </c>
      <c r="H749" s="1925">
        <v>199.5</v>
      </c>
      <c r="I749" s="2102">
        <f t="shared" si="151"/>
        <v>3.7999999999999999E-2</v>
      </c>
    </row>
    <row r="750" spans="1:9" ht="16.5" hidden="1" customHeight="1">
      <c r="A750" s="1614"/>
      <c r="B750" s="1627"/>
      <c r="C750" s="2234" t="s">
        <v>963</v>
      </c>
      <c r="D750" s="2109" t="s">
        <v>917</v>
      </c>
      <c r="E750" s="1923">
        <v>10000</v>
      </c>
      <c r="F750" s="1923">
        <v>0</v>
      </c>
      <c r="G750" s="2216">
        <v>0</v>
      </c>
      <c r="H750" s="1925">
        <v>0</v>
      </c>
      <c r="I750" s="2102" t="e">
        <f t="shared" si="151"/>
        <v>#DIV/0!</v>
      </c>
    </row>
    <row r="751" spans="1:9" ht="16.5" customHeight="1">
      <c r="A751" s="1614"/>
      <c r="B751" s="1627"/>
      <c r="C751" s="2235" t="s">
        <v>918</v>
      </c>
      <c r="D751" s="1691" t="s">
        <v>917</v>
      </c>
      <c r="E751" s="1661">
        <v>3825</v>
      </c>
      <c r="F751" s="1661">
        <v>0</v>
      </c>
      <c r="G751" s="1881">
        <f>1275</f>
        <v>1275</v>
      </c>
      <c r="H751" s="1663">
        <v>899.13</v>
      </c>
      <c r="I751" s="2102">
        <f t="shared" si="151"/>
        <v>0.70520000000000005</v>
      </c>
    </row>
    <row r="752" spans="1:9" ht="16.5" customHeight="1">
      <c r="A752" s="1614"/>
      <c r="B752" s="1627"/>
      <c r="C752" s="1659" t="s">
        <v>919</v>
      </c>
      <c r="D752" s="1660" t="s">
        <v>917</v>
      </c>
      <c r="E752" s="1661">
        <v>675</v>
      </c>
      <c r="F752" s="1661">
        <v>0</v>
      </c>
      <c r="G752" s="1881">
        <f>225</f>
        <v>225</v>
      </c>
      <c r="H752" s="1663">
        <v>158.66999999999999</v>
      </c>
      <c r="I752" s="2102">
        <f t="shared" si="151"/>
        <v>0.70519999999999994</v>
      </c>
    </row>
    <row r="753" spans="1:9" ht="13.5" customHeight="1">
      <c r="A753" s="1614"/>
      <c r="B753" s="1627"/>
      <c r="C753" s="2232" t="s">
        <v>865</v>
      </c>
      <c r="D753" s="2230" t="s">
        <v>778</v>
      </c>
      <c r="E753" s="1923">
        <v>20000</v>
      </c>
      <c r="F753" s="1923">
        <v>230000</v>
      </c>
      <c r="G753" s="2216">
        <f>279000</f>
        <v>279000</v>
      </c>
      <c r="H753" s="1925">
        <v>216100</v>
      </c>
      <c r="I753" s="1769">
        <f t="shared" si="151"/>
        <v>0.77455197132616482</v>
      </c>
    </row>
    <row r="754" spans="1:9" ht="1.5" hidden="1" customHeight="1">
      <c r="A754" s="1614"/>
      <c r="B754" s="1627"/>
      <c r="C754" s="2236" t="s">
        <v>826</v>
      </c>
      <c r="D754" s="2237" t="s">
        <v>778</v>
      </c>
      <c r="E754" s="1923"/>
      <c r="F754" s="1923"/>
      <c r="G754" s="2216"/>
      <c r="H754" s="1925"/>
      <c r="I754" s="1769" t="e">
        <f t="shared" si="151"/>
        <v>#DIV/0!</v>
      </c>
    </row>
    <row r="755" spans="1:9" hidden="1">
      <c r="A755" s="1614"/>
      <c r="B755" s="1627"/>
      <c r="C755" s="2236" t="s">
        <v>827</v>
      </c>
      <c r="D755" s="2237" t="s">
        <v>778</v>
      </c>
      <c r="E755" s="1923"/>
      <c r="F755" s="1923"/>
      <c r="G755" s="2216"/>
      <c r="H755" s="1925"/>
      <c r="I755" s="1769" t="e">
        <f t="shared" si="151"/>
        <v>#DIV/0!</v>
      </c>
    </row>
    <row r="756" spans="1:9" ht="17.100000000000001" customHeight="1">
      <c r="A756" s="1614"/>
      <c r="B756" s="1627"/>
      <c r="C756" s="2236" t="s">
        <v>866</v>
      </c>
      <c r="D756" s="2237" t="s">
        <v>781</v>
      </c>
      <c r="E756" s="1923">
        <v>10000</v>
      </c>
      <c r="F756" s="1923">
        <v>7836</v>
      </c>
      <c r="G756" s="2216">
        <f>7836</f>
        <v>7836</v>
      </c>
      <c r="H756" s="1925">
        <v>515</v>
      </c>
      <c r="I756" s="1769">
        <f t="shared" si="151"/>
        <v>6.5722307299642679E-2</v>
      </c>
    </row>
    <row r="757" spans="1:9" ht="17.100000000000001" customHeight="1">
      <c r="A757" s="1638"/>
      <c r="B757" s="1638"/>
      <c r="C757" s="2238" t="s">
        <v>828</v>
      </c>
      <c r="D757" s="2239" t="s">
        <v>781</v>
      </c>
      <c r="E757" s="1923"/>
      <c r="F757" s="1923">
        <v>0</v>
      </c>
      <c r="G757" s="2216">
        <f>5525</f>
        <v>5525</v>
      </c>
      <c r="H757" s="1925">
        <v>0</v>
      </c>
      <c r="I757" s="1769">
        <f t="shared" si="151"/>
        <v>0</v>
      </c>
    </row>
    <row r="758" spans="1:9" ht="17.100000000000001" customHeight="1">
      <c r="A758" s="1638"/>
      <c r="B758" s="1638"/>
      <c r="C758" s="1695" t="s">
        <v>829</v>
      </c>
      <c r="D758" s="1660" t="s">
        <v>781</v>
      </c>
      <c r="E758" s="1661"/>
      <c r="F758" s="1661">
        <v>0</v>
      </c>
      <c r="G758" s="1881">
        <f>975</f>
        <v>975</v>
      </c>
      <c r="H758" s="1663">
        <v>0</v>
      </c>
      <c r="I758" s="1664">
        <f t="shared" si="151"/>
        <v>0</v>
      </c>
    </row>
    <row r="759" spans="1:9" ht="17.100000000000001" customHeight="1">
      <c r="A759" s="1614"/>
      <c r="B759" s="1627"/>
      <c r="C759" s="2240" t="s">
        <v>964</v>
      </c>
      <c r="D759" s="2241" t="s">
        <v>900</v>
      </c>
      <c r="E759" s="1923">
        <v>90000</v>
      </c>
      <c r="F759" s="1923">
        <v>40000</v>
      </c>
      <c r="G759" s="2216">
        <f>40000</f>
        <v>40000</v>
      </c>
      <c r="H759" s="1925">
        <v>0</v>
      </c>
      <c r="I759" s="1769">
        <f t="shared" si="151"/>
        <v>0</v>
      </c>
    </row>
    <row r="760" spans="1:9" ht="17.100000000000001" customHeight="1">
      <c r="A760" s="1614"/>
      <c r="B760" s="1627"/>
      <c r="C760" s="2242" t="s">
        <v>920</v>
      </c>
      <c r="D760" s="2241" t="s">
        <v>900</v>
      </c>
      <c r="E760" s="1923">
        <v>12750</v>
      </c>
      <c r="F760" s="1923">
        <v>3400</v>
      </c>
      <c r="G760" s="2216">
        <f>24225</f>
        <v>24225</v>
      </c>
      <c r="H760" s="1925">
        <v>0</v>
      </c>
      <c r="I760" s="1769">
        <f t="shared" ref="I760:I832" si="165">H760/G760</f>
        <v>0</v>
      </c>
    </row>
    <row r="761" spans="1:9" ht="17.100000000000001" customHeight="1">
      <c r="A761" s="1614"/>
      <c r="B761" s="1627"/>
      <c r="C761" s="2242" t="s">
        <v>921</v>
      </c>
      <c r="D761" s="2241" t="s">
        <v>900</v>
      </c>
      <c r="E761" s="1923">
        <v>2250</v>
      </c>
      <c r="F761" s="1923">
        <v>600</v>
      </c>
      <c r="G761" s="2216">
        <f>4275</f>
        <v>4275</v>
      </c>
      <c r="H761" s="1925">
        <v>0</v>
      </c>
      <c r="I761" s="1769">
        <f t="shared" si="165"/>
        <v>0</v>
      </c>
    </row>
    <row r="762" spans="1:9" ht="56.25" hidden="1" customHeight="1">
      <c r="A762" s="1614"/>
      <c r="B762" s="1627"/>
      <c r="C762" s="2240" t="s">
        <v>832</v>
      </c>
      <c r="D762" s="2241" t="s">
        <v>833</v>
      </c>
      <c r="E762" s="1923">
        <v>17</v>
      </c>
      <c r="F762" s="1923">
        <v>0</v>
      </c>
      <c r="G762" s="2216">
        <v>0</v>
      </c>
      <c r="H762" s="1925">
        <v>0</v>
      </c>
      <c r="I762" s="1769" t="e">
        <f t="shared" si="165"/>
        <v>#DIV/0!</v>
      </c>
    </row>
    <row r="763" spans="1:9" ht="24.75" customHeight="1">
      <c r="A763" s="1614"/>
      <c r="B763" s="1627"/>
      <c r="C763" s="2240" t="s">
        <v>867</v>
      </c>
      <c r="D763" s="2241" t="s">
        <v>790</v>
      </c>
      <c r="E763" s="1923"/>
      <c r="F763" s="1923">
        <v>0</v>
      </c>
      <c r="G763" s="2216">
        <f>5000</f>
        <v>5000</v>
      </c>
      <c r="H763" s="1925">
        <v>0</v>
      </c>
      <c r="I763" s="1769">
        <f t="shared" si="165"/>
        <v>0</v>
      </c>
    </row>
    <row r="764" spans="1:9" ht="28.5" customHeight="1">
      <c r="A764" s="1614"/>
      <c r="B764" s="1627"/>
      <c r="C764" s="2243" t="s">
        <v>868</v>
      </c>
      <c r="D764" s="2244" t="s">
        <v>768</v>
      </c>
      <c r="E764" s="1923">
        <v>30000</v>
      </c>
      <c r="F764" s="1923">
        <v>5000</v>
      </c>
      <c r="G764" s="2216">
        <v>2000</v>
      </c>
      <c r="H764" s="1925">
        <v>1361.94</v>
      </c>
      <c r="I764" s="1769">
        <f t="shared" si="165"/>
        <v>0.68097000000000008</v>
      </c>
    </row>
    <row r="765" spans="1:9" ht="17.100000000000001" customHeight="1">
      <c r="A765" s="1614"/>
      <c r="B765" s="1627"/>
      <c r="C765" s="4946"/>
      <c r="D765" s="4947"/>
      <c r="E765" s="1923"/>
      <c r="F765" s="1923"/>
      <c r="G765" s="2225"/>
      <c r="H765" s="1925"/>
      <c r="I765" s="1664"/>
    </row>
    <row r="766" spans="1:9" ht="17.100000000000001" customHeight="1">
      <c r="A766" s="1614"/>
      <c r="B766" s="1627"/>
      <c r="C766" s="4934" t="s">
        <v>793</v>
      </c>
      <c r="D766" s="4935"/>
      <c r="E766" s="2245">
        <f>E767</f>
        <v>1662001</v>
      </c>
      <c r="F766" s="2245">
        <f t="shared" ref="F766:H766" si="166">F767</f>
        <v>7200</v>
      </c>
      <c r="G766" s="2246">
        <f t="shared" si="166"/>
        <v>1031200</v>
      </c>
      <c r="H766" s="2106">
        <f t="shared" si="166"/>
        <v>1003647</v>
      </c>
      <c r="I766" s="1672">
        <f t="shared" si="165"/>
        <v>0.97328064391000779</v>
      </c>
    </row>
    <row r="767" spans="1:9" ht="17.100000000000001" customHeight="1">
      <c r="A767" s="1614"/>
      <c r="B767" s="1627"/>
      <c r="C767" s="4936" t="s">
        <v>794</v>
      </c>
      <c r="D767" s="4937"/>
      <c r="E767" s="2014">
        <f>SUM(E768:E771)</f>
        <v>1662001</v>
      </c>
      <c r="F767" s="2014">
        <f>SUM(F768:F771)</f>
        <v>7200</v>
      </c>
      <c r="G767" s="2247">
        <f>SUM(G768:G771)</f>
        <v>1031200</v>
      </c>
      <c r="H767" s="1925">
        <f t="shared" ref="H767" si="167">SUM(H768:H771)</f>
        <v>1003647</v>
      </c>
      <c r="I767" s="1664">
        <f t="shared" si="165"/>
        <v>0.97328064391000779</v>
      </c>
    </row>
    <row r="768" spans="1:9" ht="17.100000000000001" customHeight="1">
      <c r="A768" s="1614"/>
      <c r="B768" s="1627"/>
      <c r="C768" s="2248" t="s">
        <v>891</v>
      </c>
      <c r="D768" s="2249" t="s">
        <v>795</v>
      </c>
      <c r="E768" s="2014">
        <v>12000</v>
      </c>
      <c r="F768" s="2014">
        <v>7200</v>
      </c>
      <c r="G768" s="2216">
        <v>31200</v>
      </c>
      <c r="H768" s="1925">
        <v>7008</v>
      </c>
      <c r="I768" s="1664">
        <f t="shared" si="165"/>
        <v>0.22461538461538461</v>
      </c>
    </row>
    <row r="769" spans="1:9" ht="39.75" customHeight="1">
      <c r="A769" s="1614"/>
      <c r="B769" s="1627"/>
      <c r="C769" s="2250" t="s">
        <v>112</v>
      </c>
      <c r="D769" s="2251" t="s">
        <v>965</v>
      </c>
      <c r="E769" s="2014">
        <v>1600000</v>
      </c>
      <c r="F769" s="2014">
        <v>0</v>
      </c>
      <c r="G769" s="2216">
        <v>905000</v>
      </c>
      <c r="H769" s="1925">
        <v>901639</v>
      </c>
      <c r="I769" s="1664">
        <f t="shared" si="165"/>
        <v>0.99628618784530387</v>
      </c>
    </row>
    <row r="770" spans="1:9" ht="39.75" customHeight="1">
      <c r="A770" s="1614"/>
      <c r="B770" s="1627"/>
      <c r="C770" s="2252" t="s">
        <v>54</v>
      </c>
      <c r="D770" s="2253" t="s">
        <v>966</v>
      </c>
      <c r="E770" s="2254">
        <v>50000</v>
      </c>
      <c r="F770" s="2254">
        <v>0</v>
      </c>
      <c r="G770" s="2216">
        <v>95000</v>
      </c>
      <c r="H770" s="1925">
        <v>95000</v>
      </c>
      <c r="I770" s="1664">
        <f t="shared" si="165"/>
        <v>1</v>
      </c>
    </row>
    <row r="771" spans="1:9" ht="30" hidden="1" customHeight="1">
      <c r="A771" s="1614"/>
      <c r="B771" s="1627"/>
      <c r="C771" s="2250" t="s">
        <v>878</v>
      </c>
      <c r="D771" s="2255" t="s">
        <v>967</v>
      </c>
      <c r="E771" s="2014">
        <v>1</v>
      </c>
      <c r="F771" s="2014">
        <v>0</v>
      </c>
      <c r="G771" s="2216"/>
      <c r="H771" s="1925"/>
      <c r="I771" s="1664" t="e">
        <f t="shared" si="165"/>
        <v>#DIV/0!</v>
      </c>
    </row>
    <row r="772" spans="1:9" ht="17.100000000000001" customHeight="1">
      <c r="A772" s="1614"/>
      <c r="B772" s="1627"/>
      <c r="C772" s="2256"/>
      <c r="D772" s="2257"/>
      <c r="E772" s="2258"/>
      <c r="F772" s="2258"/>
      <c r="G772" s="2216"/>
      <c r="H772" s="1925"/>
      <c r="I772" s="1664"/>
    </row>
    <row r="773" spans="1:9" ht="27.75" customHeight="1">
      <c r="A773" s="1614"/>
      <c r="B773" s="1627"/>
      <c r="C773" s="4938" t="s">
        <v>801</v>
      </c>
      <c r="D773" s="4939"/>
      <c r="E773" s="1923">
        <f>E774+E777</f>
        <v>12001</v>
      </c>
      <c r="F773" s="1923">
        <f>SUM(F774:F776)</f>
        <v>7200</v>
      </c>
      <c r="G773" s="1923">
        <f>SUM(G774:G776)</f>
        <v>31200</v>
      </c>
      <c r="H773" s="1925">
        <f t="shared" ref="H773" si="168">SUM(H774:H776)</f>
        <v>7008</v>
      </c>
      <c r="I773" s="1664">
        <f t="shared" si="165"/>
        <v>0.22461538461538461</v>
      </c>
    </row>
    <row r="774" spans="1:9" ht="20.25" customHeight="1" thickBot="1">
      <c r="A774" s="1644"/>
      <c r="B774" s="1645"/>
      <c r="C774" s="2259" t="s">
        <v>891</v>
      </c>
      <c r="D774" s="2260" t="s">
        <v>795</v>
      </c>
      <c r="E774" s="1678">
        <v>12000</v>
      </c>
      <c r="F774" s="1678">
        <v>7200</v>
      </c>
      <c r="G774" s="1921">
        <f>31200</f>
        <v>31200</v>
      </c>
      <c r="H774" s="1747">
        <v>7008</v>
      </c>
      <c r="I774" s="2261">
        <f t="shared" si="165"/>
        <v>0.22461538461538461</v>
      </c>
    </row>
    <row r="775" spans="1:9" ht="45.75" hidden="1" customHeight="1">
      <c r="A775" s="1614"/>
      <c r="B775" s="1627"/>
      <c r="C775" s="1690" t="s">
        <v>112</v>
      </c>
      <c r="D775" s="1691" t="s">
        <v>965</v>
      </c>
      <c r="E775" s="1661">
        <v>1600000</v>
      </c>
      <c r="F775" s="1661">
        <v>0</v>
      </c>
      <c r="G775" s="1662"/>
      <c r="H775" s="1663"/>
      <c r="I775" s="2022"/>
    </row>
    <row r="776" spans="1:9" ht="42" hidden="1" customHeight="1" thickBot="1">
      <c r="A776" s="1614"/>
      <c r="B776" s="1627"/>
      <c r="C776" s="2060" t="s">
        <v>54</v>
      </c>
      <c r="D776" s="2262" t="s">
        <v>966</v>
      </c>
      <c r="E776" s="1923">
        <v>50000</v>
      </c>
      <c r="F776" s="1923">
        <v>0</v>
      </c>
      <c r="G776" s="2263"/>
      <c r="H776" s="1925"/>
      <c r="I776" s="2035"/>
    </row>
    <row r="777" spans="1:9" ht="31.5" hidden="1" customHeight="1" thickBot="1">
      <c r="A777" s="1614"/>
      <c r="B777" s="1627"/>
      <c r="C777" s="1695" t="s">
        <v>878</v>
      </c>
      <c r="D777" s="1696" t="s">
        <v>967</v>
      </c>
      <c r="E777" s="1668">
        <v>1</v>
      </c>
      <c r="F777" s="1668">
        <v>0</v>
      </c>
      <c r="G777" s="2264"/>
      <c r="H777" s="1663"/>
      <c r="I777" s="1725" t="e">
        <f t="shared" si="165"/>
        <v>#DIV/0!</v>
      </c>
    </row>
    <row r="778" spans="1:9" ht="18" customHeight="1" thickBot="1">
      <c r="A778" s="1819" t="s">
        <v>92</v>
      </c>
      <c r="B778" s="2112"/>
      <c r="C778" s="2113"/>
      <c r="D778" s="2114" t="s">
        <v>968</v>
      </c>
      <c r="E778" s="2115">
        <f>SUM(E779,E796,E815,E917,E928,E1014,E1033,E999,E913)</f>
        <v>153190166</v>
      </c>
      <c r="F778" s="2115">
        <f>SUM(F779,F796,F815,F917,F928,F1014,F1033,F999,F913)</f>
        <v>196095864</v>
      </c>
      <c r="G778" s="2116">
        <f>SUM(G779,G796,G815,G917,G928,G1014,G1033,G999,G913)</f>
        <v>161331187</v>
      </c>
      <c r="H778" s="2117">
        <f>SUM(H779,H796,H815,H917,H928,H1014,H1033,H999,H913)</f>
        <v>136741476.37999997</v>
      </c>
      <c r="I778" s="2265">
        <f t="shared" si="165"/>
        <v>0.84758241058500339</v>
      </c>
    </row>
    <row r="779" spans="1:9" ht="17.100000000000001" customHeight="1" thickBot="1">
      <c r="A779" s="1614"/>
      <c r="B779" s="2266" t="s">
        <v>193</v>
      </c>
      <c r="C779" s="1727"/>
      <c r="D779" s="1728" t="s">
        <v>194</v>
      </c>
      <c r="E779" s="1729">
        <f t="shared" ref="E779:H780" si="169">E780</f>
        <v>1152328</v>
      </c>
      <c r="F779" s="1729">
        <f t="shared" si="169"/>
        <v>1320705</v>
      </c>
      <c r="G779" s="1730">
        <f t="shared" si="169"/>
        <v>1691685</v>
      </c>
      <c r="H779" s="1731">
        <f t="shared" si="169"/>
        <v>1650127.6500000001</v>
      </c>
      <c r="I779" s="1936">
        <f t="shared" si="165"/>
        <v>0.97543434504650695</v>
      </c>
    </row>
    <row r="780" spans="1:9" ht="17.100000000000001" customHeight="1">
      <c r="A780" s="1614"/>
      <c r="B780" s="4940"/>
      <c r="C780" s="4871" t="s">
        <v>760</v>
      </c>
      <c r="D780" s="4871"/>
      <c r="E780" s="1615">
        <f t="shared" si="169"/>
        <v>1152328</v>
      </c>
      <c r="F780" s="1615">
        <f>F781+F794</f>
        <v>1320705</v>
      </c>
      <c r="G780" s="1615">
        <f t="shared" ref="G780:H780" si="170">G781+G794</f>
        <v>1691685</v>
      </c>
      <c r="H780" s="1617">
        <f t="shared" si="170"/>
        <v>1650127.6500000001</v>
      </c>
      <c r="I780" s="1664">
        <f t="shared" si="165"/>
        <v>0.97543434504650695</v>
      </c>
    </row>
    <row r="781" spans="1:9" ht="17.100000000000001" customHeight="1">
      <c r="A781" s="1614"/>
      <c r="B781" s="4687"/>
      <c r="C781" s="4941" t="s">
        <v>761</v>
      </c>
      <c r="D781" s="4941"/>
      <c r="E781" s="1923">
        <f>E782+E790</f>
        <v>1152328</v>
      </c>
      <c r="F781" s="1923">
        <f t="shared" ref="F781:H781" si="171">F782+F790</f>
        <v>1320705</v>
      </c>
      <c r="G781" s="2247">
        <f t="shared" si="171"/>
        <v>1676685</v>
      </c>
      <c r="H781" s="1925">
        <f t="shared" si="171"/>
        <v>1635127.6500000001</v>
      </c>
      <c r="I781" s="1664">
        <f t="shared" si="165"/>
        <v>0.97521457518854171</v>
      </c>
    </row>
    <row r="782" spans="1:9" ht="17.100000000000001" customHeight="1">
      <c r="A782" s="1614"/>
      <c r="B782" s="4687"/>
      <c r="C782" s="4922" t="s">
        <v>762</v>
      </c>
      <c r="D782" s="4922"/>
      <c r="E782" s="1926">
        <f>SUM(E783:E787)</f>
        <v>1133460</v>
      </c>
      <c r="F782" s="1926">
        <f>SUM(F783:F788)</f>
        <v>1320705</v>
      </c>
      <c r="G782" s="1926">
        <f t="shared" ref="G782:H782" si="172">SUM(G783:G788)</f>
        <v>1676685</v>
      </c>
      <c r="H782" s="1928">
        <f t="shared" si="172"/>
        <v>1635127.6500000001</v>
      </c>
      <c r="I782" s="2047">
        <f t="shared" si="165"/>
        <v>0.97521457518854171</v>
      </c>
    </row>
    <row r="783" spans="1:9" ht="17.100000000000001" customHeight="1">
      <c r="A783" s="1614"/>
      <c r="B783" s="4687"/>
      <c r="C783" s="2242" t="s">
        <v>61</v>
      </c>
      <c r="D783" s="2267" t="s">
        <v>763</v>
      </c>
      <c r="E783" s="1923">
        <v>885204</v>
      </c>
      <c r="F783" s="1923">
        <v>1024682</v>
      </c>
      <c r="G783" s="2216">
        <v>1314682</v>
      </c>
      <c r="H783" s="1925">
        <v>1297339.58</v>
      </c>
      <c r="I783" s="1664">
        <f t="shared" si="165"/>
        <v>0.98680865791119077</v>
      </c>
    </row>
    <row r="784" spans="1:9" ht="17.100000000000001" customHeight="1">
      <c r="A784" s="1614"/>
      <c r="B784" s="4687"/>
      <c r="C784" s="2242" t="s">
        <v>315</v>
      </c>
      <c r="D784" s="2267" t="s">
        <v>764</v>
      </c>
      <c r="E784" s="1923">
        <v>67240</v>
      </c>
      <c r="F784" s="1923">
        <v>79382</v>
      </c>
      <c r="G784" s="2216">
        <v>79382</v>
      </c>
      <c r="H784" s="1925">
        <v>77789.679999999993</v>
      </c>
      <c r="I784" s="1664">
        <f t="shared" si="165"/>
        <v>0.97994104456929776</v>
      </c>
    </row>
    <row r="785" spans="1:9" ht="17.100000000000001" customHeight="1">
      <c r="A785" s="1638"/>
      <c r="B785" s="1638"/>
      <c r="C785" s="2243" t="s">
        <v>62</v>
      </c>
      <c r="D785" s="2244" t="s">
        <v>765</v>
      </c>
      <c r="E785" s="1923">
        <v>155601</v>
      </c>
      <c r="F785" s="1923">
        <v>189616</v>
      </c>
      <c r="G785" s="2216">
        <v>239406</v>
      </c>
      <c r="H785" s="1925">
        <v>227666.24</v>
      </c>
      <c r="I785" s="1664">
        <f t="shared" si="165"/>
        <v>0.950962966675856</v>
      </c>
    </row>
    <row r="786" spans="1:9" ht="28.5" customHeight="1">
      <c r="A786" s="1638"/>
      <c r="B786" s="1638"/>
      <c r="C786" s="1659" t="s">
        <v>63</v>
      </c>
      <c r="D786" s="1660" t="s">
        <v>766</v>
      </c>
      <c r="E786" s="1661">
        <v>22048</v>
      </c>
      <c r="F786" s="1661">
        <v>27025</v>
      </c>
      <c r="G786" s="2264">
        <v>30915</v>
      </c>
      <c r="H786" s="1663">
        <v>25682.76</v>
      </c>
      <c r="I786" s="1664">
        <f t="shared" si="165"/>
        <v>0.83075400291120804</v>
      </c>
    </row>
    <row r="787" spans="1:9" ht="16.5" customHeight="1">
      <c r="A787" s="4716"/>
      <c r="B787" s="1627"/>
      <c r="C787" s="2268" t="s">
        <v>324</v>
      </c>
      <c r="D787" s="2239" t="s">
        <v>767</v>
      </c>
      <c r="E787" s="1923">
        <v>3367</v>
      </c>
      <c r="F787" s="1923">
        <v>0</v>
      </c>
      <c r="G787" s="2216">
        <v>5000</v>
      </c>
      <c r="H787" s="1925">
        <v>2214.29</v>
      </c>
      <c r="I787" s="1664">
        <f t="shared" si="165"/>
        <v>0.44285799999999997</v>
      </c>
    </row>
    <row r="788" spans="1:9" ht="16.5" customHeight="1">
      <c r="A788" s="4716"/>
      <c r="B788" s="1627"/>
      <c r="C788" s="2269" t="s">
        <v>335</v>
      </c>
      <c r="D788" s="2270" t="s">
        <v>768</v>
      </c>
      <c r="E788" s="1923"/>
      <c r="F788" s="1923">
        <v>0</v>
      </c>
      <c r="G788" s="2264">
        <v>7300</v>
      </c>
      <c r="H788" s="1663">
        <v>4435.1000000000004</v>
      </c>
      <c r="I788" s="1664">
        <f t="shared" si="165"/>
        <v>0.6075479452054795</v>
      </c>
    </row>
    <row r="789" spans="1:9" ht="17.100000000000001" hidden="1" customHeight="1">
      <c r="A789" s="4716"/>
      <c r="B789" s="1627"/>
      <c r="C789" s="1688"/>
      <c r="D789" s="1688"/>
      <c r="E789" s="1638"/>
      <c r="F789" s="1638"/>
      <c r="G789" s="2264"/>
      <c r="H789" s="1663"/>
      <c r="I789" s="1664"/>
    </row>
    <row r="790" spans="1:9" ht="17.100000000000001" hidden="1" customHeight="1">
      <c r="A790" s="1614"/>
      <c r="B790" s="1627"/>
      <c r="C790" s="4926" t="s">
        <v>769</v>
      </c>
      <c r="D790" s="4926"/>
      <c r="E790" s="1926">
        <f>SUM(E791:E792)</f>
        <v>18868</v>
      </c>
      <c r="F790" s="1926">
        <f>SUM(F791:F792)</f>
        <v>0</v>
      </c>
      <c r="G790" s="2137">
        <f t="shared" ref="G790:H790" si="173">SUM(G791:G792)</f>
        <v>0</v>
      </c>
      <c r="H790" s="1928">
        <f t="shared" si="173"/>
        <v>0</v>
      </c>
      <c r="I790" s="2047" t="e">
        <f t="shared" si="165"/>
        <v>#DIV/0!</v>
      </c>
    </row>
    <row r="791" spans="1:9" ht="27.75" hidden="1" customHeight="1">
      <c r="A791" s="1614"/>
      <c r="B791" s="1627"/>
      <c r="C791" s="2242" t="s">
        <v>332</v>
      </c>
      <c r="D791" s="2267" t="s">
        <v>770</v>
      </c>
      <c r="E791" s="1923">
        <v>18868</v>
      </c>
      <c r="F791" s="1923">
        <v>0</v>
      </c>
      <c r="G791" s="2216">
        <v>0</v>
      </c>
      <c r="H791" s="1925">
        <v>0</v>
      </c>
      <c r="I791" s="1664" t="e">
        <f t="shared" si="165"/>
        <v>#DIV/0!</v>
      </c>
    </row>
    <row r="792" spans="1:9" ht="17.100000000000001" hidden="1" customHeight="1">
      <c r="A792" s="1614"/>
      <c r="B792" s="1627"/>
      <c r="C792" s="1690" t="s">
        <v>319</v>
      </c>
      <c r="D792" s="1691" t="s">
        <v>783</v>
      </c>
      <c r="E792" s="1661">
        <v>0</v>
      </c>
      <c r="F792" s="1661">
        <v>0</v>
      </c>
      <c r="G792" s="2216">
        <v>0</v>
      </c>
      <c r="H792" s="1925">
        <v>0</v>
      </c>
      <c r="I792" s="1664" t="e">
        <f t="shared" si="165"/>
        <v>#DIV/0!</v>
      </c>
    </row>
    <row r="793" spans="1:9" ht="17.100000000000001" customHeight="1">
      <c r="A793" s="1614"/>
      <c r="B793" s="1627"/>
      <c r="C793" s="2000"/>
      <c r="D793" s="2122"/>
      <c r="E793" s="1668"/>
      <c r="F793" s="1668"/>
      <c r="G793" s="1761"/>
      <c r="H793" s="1663"/>
      <c r="I793" s="2035"/>
    </row>
    <row r="794" spans="1:9" ht="16.5" customHeight="1">
      <c r="A794" s="1614"/>
      <c r="B794" s="1627"/>
      <c r="C794" s="4933" t="s">
        <v>838</v>
      </c>
      <c r="D794" s="4933"/>
      <c r="E794" s="1926">
        <f>E795</f>
        <v>10000</v>
      </c>
      <c r="F794" s="1926">
        <f t="shared" ref="F794:H794" si="174">F795</f>
        <v>0</v>
      </c>
      <c r="G794" s="1926">
        <f t="shared" si="174"/>
        <v>15000</v>
      </c>
      <c r="H794" s="1928">
        <f t="shared" si="174"/>
        <v>15000</v>
      </c>
      <c r="I794" s="1664">
        <f t="shared" ref="I794:I795" si="175">H794/G794</f>
        <v>1</v>
      </c>
    </row>
    <row r="795" spans="1:9" ht="33.75" customHeight="1" thickBot="1">
      <c r="A795" s="1614"/>
      <c r="B795" s="1645"/>
      <c r="C795" s="2242" t="s">
        <v>86</v>
      </c>
      <c r="D795" s="2267" t="s">
        <v>941</v>
      </c>
      <c r="E795" s="1923">
        <v>10000</v>
      </c>
      <c r="F795" s="1923">
        <v>0</v>
      </c>
      <c r="G795" s="2216">
        <v>15000</v>
      </c>
      <c r="H795" s="1925">
        <v>15000</v>
      </c>
      <c r="I795" s="1664">
        <f t="shared" si="175"/>
        <v>1</v>
      </c>
    </row>
    <row r="796" spans="1:9" ht="17.100000000000001" customHeight="1" thickBot="1">
      <c r="A796" s="1614"/>
      <c r="B796" s="1794" t="s">
        <v>969</v>
      </c>
      <c r="C796" s="1727"/>
      <c r="D796" s="1728" t="s">
        <v>970</v>
      </c>
      <c r="E796" s="1729">
        <f>E797+E812</f>
        <v>1061505</v>
      </c>
      <c r="F796" s="1729">
        <f>F797+F812</f>
        <v>1072026</v>
      </c>
      <c r="G796" s="1730">
        <f>G797+G812</f>
        <v>1114734</v>
      </c>
      <c r="H796" s="1731">
        <f>H797+H812</f>
        <v>1052704.3799999999</v>
      </c>
      <c r="I796" s="1732">
        <f t="shared" si="165"/>
        <v>0.94435477880821783</v>
      </c>
    </row>
    <row r="797" spans="1:9" ht="17.100000000000001" customHeight="1">
      <c r="A797" s="1614"/>
      <c r="B797" s="1627"/>
      <c r="C797" s="4871" t="s">
        <v>760</v>
      </c>
      <c r="D797" s="4871"/>
      <c r="E797" s="1615">
        <f>E798+E809</f>
        <v>1061505</v>
      </c>
      <c r="F797" s="1615">
        <f>F798+F809</f>
        <v>1072026</v>
      </c>
      <c r="G797" s="1616">
        <f>G798+G809</f>
        <v>1114734</v>
      </c>
      <c r="H797" s="1617">
        <f>H798+H809</f>
        <v>1052704.3799999999</v>
      </c>
      <c r="I797" s="1769">
        <f t="shared" si="165"/>
        <v>0.94435477880821783</v>
      </c>
    </row>
    <row r="798" spans="1:9" ht="17.100000000000001" customHeight="1">
      <c r="A798" s="1614"/>
      <c r="B798" s="1627"/>
      <c r="C798" s="4921" t="s">
        <v>761</v>
      </c>
      <c r="D798" s="4921"/>
      <c r="E798" s="1923">
        <f>E799+E802</f>
        <v>166400</v>
      </c>
      <c r="F798" s="1923">
        <f>F799+F802</f>
        <v>164026</v>
      </c>
      <c r="G798" s="2118">
        <f>G799+G802</f>
        <v>151339</v>
      </c>
      <c r="H798" s="1925">
        <f>H799+H802</f>
        <v>97185.400000000009</v>
      </c>
      <c r="I798" s="1769">
        <f t="shared" si="165"/>
        <v>0.64217022710603355</v>
      </c>
    </row>
    <row r="799" spans="1:9" ht="17.100000000000001" customHeight="1">
      <c r="A799" s="1614"/>
      <c r="B799" s="1627"/>
      <c r="C799" s="4922" t="s">
        <v>762</v>
      </c>
      <c r="D799" s="4922"/>
      <c r="E799" s="1926">
        <f t="shared" ref="E799:H799" si="176">E800</f>
        <v>5100</v>
      </c>
      <c r="F799" s="1926">
        <f t="shared" si="176"/>
        <v>2000</v>
      </c>
      <c r="G799" s="2137">
        <f t="shared" si="176"/>
        <v>0</v>
      </c>
      <c r="H799" s="1928">
        <f t="shared" si="176"/>
        <v>0</v>
      </c>
      <c r="I799" s="1769"/>
    </row>
    <row r="800" spans="1:9" ht="17.100000000000001" customHeight="1">
      <c r="A800" s="1614"/>
      <c r="B800" s="1627"/>
      <c r="C800" s="2242" t="s">
        <v>324</v>
      </c>
      <c r="D800" s="2267" t="s">
        <v>767</v>
      </c>
      <c r="E800" s="1923">
        <v>5100</v>
      </c>
      <c r="F800" s="1923">
        <v>2000</v>
      </c>
      <c r="G800" s="2216">
        <v>0</v>
      </c>
      <c r="H800" s="1925">
        <v>0</v>
      </c>
      <c r="I800" s="1769"/>
    </row>
    <row r="801" spans="1:9" ht="17.100000000000001" customHeight="1">
      <c r="A801" s="1614"/>
      <c r="B801" s="1627"/>
      <c r="C801" s="1688"/>
      <c r="D801" s="1688"/>
      <c r="E801" s="1638"/>
      <c r="F801" s="1638"/>
      <c r="G801" s="2216"/>
      <c r="H801" s="1925"/>
      <c r="I801" s="1769"/>
    </row>
    <row r="802" spans="1:9" ht="17.100000000000001" customHeight="1">
      <c r="A802" s="1614"/>
      <c r="B802" s="1627"/>
      <c r="C802" s="4926" t="s">
        <v>769</v>
      </c>
      <c r="D802" s="4926"/>
      <c r="E802" s="1926">
        <f t="shared" ref="E802:H802" si="177">SUM(E803:E807)</f>
        <v>161300</v>
      </c>
      <c r="F802" s="1926">
        <f t="shared" si="177"/>
        <v>162026</v>
      </c>
      <c r="G802" s="2137">
        <f t="shared" si="177"/>
        <v>151339</v>
      </c>
      <c r="H802" s="1928">
        <f t="shared" si="177"/>
        <v>97185.400000000009</v>
      </c>
      <c r="I802" s="1783">
        <f t="shared" si="165"/>
        <v>0.64217022710603355</v>
      </c>
    </row>
    <row r="803" spans="1:9" ht="17.100000000000001" customHeight="1">
      <c r="A803" s="1614"/>
      <c r="B803" s="1627"/>
      <c r="C803" s="2242" t="s">
        <v>22</v>
      </c>
      <c r="D803" s="2267" t="s">
        <v>771</v>
      </c>
      <c r="E803" s="1923">
        <v>51300</v>
      </c>
      <c r="F803" s="1923">
        <v>47326</v>
      </c>
      <c r="G803" s="2216">
        <v>26326</v>
      </c>
      <c r="H803" s="1925">
        <v>23962.77</v>
      </c>
      <c r="I803" s="1769">
        <f t="shared" si="165"/>
        <v>0.91023208994909977</v>
      </c>
    </row>
    <row r="804" spans="1:9" ht="17.100000000000001" customHeight="1">
      <c r="A804" s="1614"/>
      <c r="B804" s="1627"/>
      <c r="C804" s="2242" t="s">
        <v>326</v>
      </c>
      <c r="D804" s="2267" t="s">
        <v>772</v>
      </c>
      <c r="E804" s="1923">
        <v>10000</v>
      </c>
      <c r="F804" s="1923">
        <v>12200</v>
      </c>
      <c r="G804" s="2216">
        <v>10000</v>
      </c>
      <c r="H804" s="1925">
        <v>7384.01</v>
      </c>
      <c r="I804" s="1769">
        <f t="shared" si="165"/>
        <v>0.73840099999999997</v>
      </c>
    </row>
    <row r="805" spans="1:9" ht="17.100000000000001" customHeight="1">
      <c r="A805" s="1614"/>
      <c r="B805" s="1627"/>
      <c r="C805" s="2242" t="s">
        <v>87</v>
      </c>
      <c r="D805" s="2267" t="s">
        <v>774</v>
      </c>
      <c r="E805" s="1923"/>
      <c r="F805" s="1923">
        <v>4000</v>
      </c>
      <c r="G805" s="2067">
        <v>0</v>
      </c>
      <c r="H805" s="1925">
        <v>0</v>
      </c>
      <c r="I805" s="1769"/>
    </row>
    <row r="806" spans="1:9" ht="17.100000000000001" customHeight="1">
      <c r="A806" s="1614"/>
      <c r="B806" s="1627"/>
      <c r="C806" s="2242" t="s">
        <v>23</v>
      </c>
      <c r="D806" s="2267" t="s">
        <v>776</v>
      </c>
      <c r="E806" s="1923">
        <v>95000</v>
      </c>
      <c r="F806" s="1923">
        <v>93400</v>
      </c>
      <c r="G806" s="2067">
        <v>113400</v>
      </c>
      <c r="H806" s="1925">
        <v>64225.82</v>
      </c>
      <c r="I806" s="1769">
        <f t="shared" si="165"/>
        <v>0.56636525573192242</v>
      </c>
    </row>
    <row r="807" spans="1:9" ht="17.100000000000001" customHeight="1">
      <c r="A807" s="1614"/>
      <c r="B807" s="1627"/>
      <c r="C807" s="2242" t="s">
        <v>318</v>
      </c>
      <c r="D807" s="2267" t="s">
        <v>777</v>
      </c>
      <c r="E807" s="1923">
        <v>5000</v>
      </c>
      <c r="F807" s="1923">
        <v>5100</v>
      </c>
      <c r="G807" s="2067">
        <v>1613</v>
      </c>
      <c r="H807" s="1925">
        <v>1612.8</v>
      </c>
      <c r="I807" s="1769">
        <f t="shared" si="165"/>
        <v>0.99987600743955363</v>
      </c>
    </row>
    <row r="808" spans="1:9" ht="12.75" customHeight="1" thickBot="1">
      <c r="A808" s="2271"/>
      <c r="B808" s="2271"/>
      <c r="C808" s="2272"/>
      <c r="D808" s="1887"/>
      <c r="E808" s="2271"/>
      <c r="F808" s="2271"/>
      <c r="G808" s="2273"/>
      <c r="H808" s="1747"/>
      <c r="I808" s="1651"/>
    </row>
    <row r="809" spans="1:9" ht="17.100000000000001" customHeight="1">
      <c r="A809" s="1638"/>
      <c r="B809" s="1638"/>
      <c r="C809" s="4874" t="s">
        <v>791</v>
      </c>
      <c r="D809" s="4874"/>
      <c r="E809" s="1661">
        <f t="shared" ref="E809:H809" si="178">E810</f>
        <v>895105</v>
      </c>
      <c r="F809" s="1661">
        <f t="shared" si="178"/>
        <v>908000</v>
      </c>
      <c r="G809" s="1760">
        <f t="shared" si="178"/>
        <v>963395</v>
      </c>
      <c r="H809" s="1663">
        <f t="shared" si="178"/>
        <v>955518.98</v>
      </c>
      <c r="I809" s="1664">
        <f t="shared" si="165"/>
        <v>0.9918247240228566</v>
      </c>
    </row>
    <row r="810" spans="1:9" ht="17.100000000000001" customHeight="1" thickBot="1">
      <c r="A810" s="1614"/>
      <c r="B810" s="1627"/>
      <c r="C810" s="2240" t="s">
        <v>325</v>
      </c>
      <c r="D810" s="2241" t="s">
        <v>971</v>
      </c>
      <c r="E810" s="2274">
        <v>895105</v>
      </c>
      <c r="F810" s="2274">
        <v>908000</v>
      </c>
      <c r="G810" s="2067">
        <v>963395</v>
      </c>
      <c r="H810" s="1925">
        <v>955518.98</v>
      </c>
      <c r="I810" s="1664">
        <f t="shared" si="165"/>
        <v>0.9918247240228566</v>
      </c>
    </row>
    <row r="811" spans="1:9" ht="17.100000000000001" hidden="1" customHeight="1">
      <c r="A811" s="1614"/>
      <c r="B811" s="1627"/>
      <c r="C811" s="4927"/>
      <c r="D811" s="4928"/>
      <c r="E811" s="2274"/>
      <c r="F811" s="2274"/>
      <c r="G811" s="2067"/>
      <c r="H811" s="1925"/>
      <c r="I811" s="1664" t="e">
        <f t="shared" si="165"/>
        <v>#DIV/0!</v>
      </c>
    </row>
    <row r="812" spans="1:9" ht="17.100000000000001" hidden="1" customHeight="1">
      <c r="A812" s="1614"/>
      <c r="B812" s="1627"/>
      <c r="C812" s="4929" t="s">
        <v>793</v>
      </c>
      <c r="D812" s="4930"/>
      <c r="E812" s="2245">
        <f>E813</f>
        <v>0</v>
      </c>
      <c r="F812" s="2245">
        <f t="shared" ref="F812" si="179">F813</f>
        <v>0</v>
      </c>
      <c r="G812" s="2067"/>
      <c r="H812" s="1925"/>
      <c r="I812" s="1664" t="e">
        <f t="shared" si="165"/>
        <v>#DIV/0!</v>
      </c>
    </row>
    <row r="813" spans="1:9" ht="17.100000000000001" hidden="1" customHeight="1">
      <c r="A813" s="1614"/>
      <c r="B813" s="1627"/>
      <c r="C813" s="4931" t="s">
        <v>794</v>
      </c>
      <c r="D813" s="4932"/>
      <c r="E813" s="2014">
        <f>SUM(E814)</f>
        <v>0</v>
      </c>
      <c r="F813" s="2014">
        <f t="shared" ref="F813" si="180">SUM(F814)</f>
        <v>0</v>
      </c>
      <c r="G813" s="2067"/>
      <c r="H813" s="1925"/>
      <c r="I813" s="1664" t="e">
        <f t="shared" si="165"/>
        <v>#DIV/0!</v>
      </c>
    </row>
    <row r="814" spans="1:9" ht="17.100000000000001" hidden="1" customHeight="1" thickBot="1">
      <c r="A814" s="1614"/>
      <c r="B814" s="1627"/>
      <c r="C814" s="2275" t="s">
        <v>24</v>
      </c>
      <c r="D814" s="2276" t="s">
        <v>842</v>
      </c>
      <c r="E814" s="2277"/>
      <c r="F814" s="2277">
        <v>0</v>
      </c>
      <c r="G814" s="2067"/>
      <c r="H814" s="1925"/>
      <c r="I814" s="1725" t="e">
        <f t="shared" si="165"/>
        <v>#DIV/0!</v>
      </c>
    </row>
    <row r="815" spans="1:9" ht="17.100000000000001" customHeight="1" thickBot="1">
      <c r="A815" s="1614"/>
      <c r="B815" s="1726" t="s">
        <v>972</v>
      </c>
      <c r="C815" s="1727"/>
      <c r="D815" s="1728" t="s">
        <v>521</v>
      </c>
      <c r="E815" s="1729">
        <f>E816+E896</f>
        <v>112631658</v>
      </c>
      <c r="F815" s="1729">
        <f t="shared" ref="F815:H815" si="181">F816+F896</f>
        <v>108405145</v>
      </c>
      <c r="G815" s="1730">
        <f t="shared" si="181"/>
        <v>107423476</v>
      </c>
      <c r="H815" s="1731">
        <f t="shared" si="181"/>
        <v>94310325.50999999</v>
      </c>
      <c r="I815" s="1732">
        <f t="shared" si="165"/>
        <v>0.8779303092929146</v>
      </c>
    </row>
    <row r="816" spans="1:9" ht="17.100000000000001" customHeight="1">
      <c r="A816" s="1614"/>
      <c r="B816" s="1627"/>
      <c r="C816" s="4868" t="s">
        <v>973</v>
      </c>
      <c r="D816" s="4868"/>
      <c r="E816" s="1615">
        <f>E817+E849+E852</f>
        <v>93482249</v>
      </c>
      <c r="F816" s="1615">
        <f>F817+F849+F852</f>
        <v>101216155</v>
      </c>
      <c r="G816" s="1616">
        <f>G817+G849+G852</f>
        <v>101178575</v>
      </c>
      <c r="H816" s="1617">
        <f>H817+H849+H852</f>
        <v>93181320.849999994</v>
      </c>
      <c r="I816" s="1672">
        <f t="shared" si="165"/>
        <v>0.92095901577977346</v>
      </c>
    </row>
    <row r="817" spans="1:9" ht="17.100000000000001" customHeight="1">
      <c r="A817" s="1614"/>
      <c r="B817" s="1627"/>
      <c r="C817" s="4921" t="s">
        <v>761</v>
      </c>
      <c r="D817" s="4921"/>
      <c r="E817" s="1661">
        <f>E818+E825</f>
        <v>56411290</v>
      </c>
      <c r="F817" s="1661">
        <f>F818+F825</f>
        <v>62403531</v>
      </c>
      <c r="G817" s="1760">
        <f t="shared" ref="G817" si="182">G818+G825</f>
        <v>64274171</v>
      </c>
      <c r="H817" s="1663">
        <f>H818+H825</f>
        <v>60035647.539999999</v>
      </c>
      <c r="I817" s="1769">
        <f t="shared" si="165"/>
        <v>0.93405557171635867</v>
      </c>
    </row>
    <row r="818" spans="1:9" ht="17.100000000000001" customHeight="1">
      <c r="A818" s="1614"/>
      <c r="B818" s="1627"/>
      <c r="C818" s="4922" t="s">
        <v>762</v>
      </c>
      <c r="D818" s="4922"/>
      <c r="E818" s="1942">
        <f t="shared" ref="E818" si="183">SUM(E819:E823)</f>
        <v>45162887</v>
      </c>
      <c r="F818" s="1942">
        <f>SUM(F819:F823)</f>
        <v>50071160</v>
      </c>
      <c r="G818" s="1943">
        <f t="shared" ref="G818" si="184">SUM(G819:G823)</f>
        <v>51929435</v>
      </c>
      <c r="H818" s="1944">
        <f>SUM(H819:H823)</f>
        <v>50448531.079999998</v>
      </c>
      <c r="I818" s="1783">
        <f t="shared" si="165"/>
        <v>0.97148237950210703</v>
      </c>
    </row>
    <row r="819" spans="1:9" ht="17.100000000000001" customHeight="1">
      <c r="A819" s="1614"/>
      <c r="B819" s="1627"/>
      <c r="C819" s="2242" t="s">
        <v>61</v>
      </c>
      <c r="D819" s="2267" t="s">
        <v>763</v>
      </c>
      <c r="E819" s="1923">
        <v>35252349</v>
      </c>
      <c r="F819" s="1923">
        <v>38751760</v>
      </c>
      <c r="G819" s="2067">
        <v>40459201</v>
      </c>
      <c r="H819" s="1925">
        <v>39626705.789999999</v>
      </c>
      <c r="I819" s="1769">
        <f t="shared" si="165"/>
        <v>0.97942383464270588</v>
      </c>
    </row>
    <row r="820" spans="1:9" ht="17.100000000000001" customHeight="1">
      <c r="A820" s="1614"/>
      <c r="B820" s="1627"/>
      <c r="C820" s="2242" t="s">
        <v>315</v>
      </c>
      <c r="D820" s="2267" t="s">
        <v>764</v>
      </c>
      <c r="E820" s="1923">
        <v>2759463</v>
      </c>
      <c r="F820" s="1923">
        <v>3057298</v>
      </c>
      <c r="G820" s="2067">
        <v>2990298</v>
      </c>
      <c r="H820" s="1925">
        <v>2989658.54</v>
      </c>
      <c r="I820" s="1769">
        <f t="shared" si="165"/>
        <v>0.99978615509223501</v>
      </c>
    </row>
    <row r="821" spans="1:9" ht="17.100000000000001" customHeight="1">
      <c r="A821" s="1638"/>
      <c r="B821" s="1638"/>
      <c r="C821" s="2278" t="s">
        <v>62</v>
      </c>
      <c r="D821" s="2279" t="s">
        <v>765</v>
      </c>
      <c r="E821" s="1923">
        <f>6147554+13167</f>
        <v>6160721</v>
      </c>
      <c r="F821" s="1923">
        <v>7186804</v>
      </c>
      <c r="G821" s="2216">
        <v>7342913</v>
      </c>
      <c r="H821" s="1925">
        <v>6956379.04</v>
      </c>
      <c r="I821" s="1769">
        <f t="shared" si="165"/>
        <v>0.94735958876266135</v>
      </c>
    </row>
    <row r="822" spans="1:9" ht="27" customHeight="1">
      <c r="A822" s="1638"/>
      <c r="B822" s="1638"/>
      <c r="C822" s="1659" t="s">
        <v>63</v>
      </c>
      <c r="D822" s="1660" t="s">
        <v>766</v>
      </c>
      <c r="E822" s="1661">
        <f>866599+1372</f>
        <v>867971</v>
      </c>
      <c r="F822" s="1661">
        <v>1024298</v>
      </c>
      <c r="G822" s="1662">
        <v>1030923</v>
      </c>
      <c r="H822" s="1663">
        <v>785362.64</v>
      </c>
      <c r="I822" s="1769">
        <f t="shared" si="165"/>
        <v>0.76180533366701486</v>
      </c>
    </row>
    <row r="823" spans="1:9" ht="17.100000000000001" customHeight="1">
      <c r="A823" s="1614"/>
      <c r="B823" s="1627"/>
      <c r="C823" s="2280" t="s">
        <v>324</v>
      </c>
      <c r="D823" s="2279" t="s">
        <v>767</v>
      </c>
      <c r="E823" s="1923">
        <f>46633+75750</f>
        <v>122383</v>
      </c>
      <c r="F823" s="1923">
        <v>51000</v>
      </c>
      <c r="G823" s="2067">
        <v>106100</v>
      </c>
      <c r="H823" s="1925">
        <v>90425.07</v>
      </c>
      <c r="I823" s="1769">
        <f t="shared" si="165"/>
        <v>0.8522626767200755</v>
      </c>
    </row>
    <row r="824" spans="1:9" ht="17.100000000000001" customHeight="1">
      <c r="A824" s="1614"/>
      <c r="B824" s="1627"/>
      <c r="C824" s="1688"/>
      <c r="D824" s="1688"/>
      <c r="E824" s="1638"/>
      <c r="F824" s="1638"/>
      <c r="G824" s="1662"/>
      <c r="H824" s="1663"/>
      <c r="I824" s="1769"/>
    </row>
    <row r="825" spans="1:9" ht="17.100000000000001" customHeight="1">
      <c r="A825" s="1614"/>
      <c r="B825" s="1627"/>
      <c r="C825" s="4923" t="s">
        <v>769</v>
      </c>
      <c r="D825" s="4923"/>
      <c r="E825" s="1926">
        <f>SUM(E826:E846)</f>
        <v>11248403</v>
      </c>
      <c r="F825" s="1926">
        <f>SUM(F826:F847)</f>
        <v>12332371</v>
      </c>
      <c r="G825" s="1926">
        <f t="shared" ref="G825" si="185">SUM(G826:G847)</f>
        <v>12344736</v>
      </c>
      <c r="H825" s="1928">
        <f>SUM(H826:H847)</f>
        <v>9587116.4600000009</v>
      </c>
      <c r="I825" s="1783">
        <f t="shared" si="165"/>
        <v>0.77661575427777485</v>
      </c>
    </row>
    <row r="826" spans="1:9" ht="26.25" customHeight="1">
      <c r="A826" s="1614"/>
      <c r="B826" s="1627"/>
      <c r="C826" s="2281" t="s">
        <v>332</v>
      </c>
      <c r="D826" s="2282" t="s">
        <v>770</v>
      </c>
      <c r="E826" s="1661">
        <v>495000</v>
      </c>
      <c r="F826" s="1661">
        <v>134900</v>
      </c>
      <c r="G826" s="2216">
        <v>134900</v>
      </c>
      <c r="H826" s="1925">
        <v>31851</v>
      </c>
      <c r="I826" s="1769">
        <f t="shared" si="165"/>
        <v>0.23610822831727205</v>
      </c>
    </row>
    <row r="827" spans="1:9" ht="17.100000000000001" customHeight="1">
      <c r="A827" s="1614"/>
      <c r="B827" s="1627"/>
      <c r="C827" s="2283" t="s">
        <v>22</v>
      </c>
      <c r="D827" s="2282" t="s">
        <v>771</v>
      </c>
      <c r="E827" s="1661">
        <f>25000+2619097</f>
        <v>2644097</v>
      </c>
      <c r="F827" s="1661">
        <v>3385279</v>
      </c>
      <c r="G827" s="2216">
        <v>3212644</v>
      </c>
      <c r="H827" s="1925">
        <v>2874740.31</v>
      </c>
      <c r="I827" s="1769">
        <f t="shared" si="165"/>
        <v>0.89482068663692582</v>
      </c>
    </row>
    <row r="828" spans="1:9" ht="17.100000000000001" customHeight="1">
      <c r="A828" s="1614"/>
      <c r="B828" s="1627"/>
      <c r="C828" s="2283" t="s">
        <v>326</v>
      </c>
      <c r="D828" s="2282" t="s">
        <v>772</v>
      </c>
      <c r="E828" s="1661">
        <v>80000</v>
      </c>
      <c r="F828" s="1661">
        <v>81600</v>
      </c>
      <c r="G828" s="2216">
        <v>81600</v>
      </c>
      <c r="H828" s="1925">
        <v>27183.27</v>
      </c>
      <c r="I828" s="1769">
        <f t="shared" si="165"/>
        <v>0.3331283088235294</v>
      </c>
    </row>
    <row r="829" spans="1:9" ht="17.100000000000001" customHeight="1">
      <c r="A829" s="1614"/>
      <c r="B829" s="1627"/>
      <c r="C829" s="2283" t="s">
        <v>316</v>
      </c>
      <c r="D829" s="2282" t="s">
        <v>773</v>
      </c>
      <c r="E829" s="1661">
        <v>1825000</v>
      </c>
      <c r="F829" s="1661">
        <v>1796000</v>
      </c>
      <c r="G829" s="2216">
        <v>2046000</v>
      </c>
      <c r="H829" s="1925">
        <v>1266938.76</v>
      </c>
      <c r="I829" s="1769">
        <f>H829/G829</f>
        <v>0.61922715542522</v>
      </c>
    </row>
    <row r="830" spans="1:9" ht="17.100000000000001" customHeight="1">
      <c r="A830" s="1614"/>
      <c r="B830" s="1627"/>
      <c r="C830" s="2283" t="s">
        <v>87</v>
      </c>
      <c r="D830" s="2282" t="s">
        <v>774</v>
      </c>
      <c r="E830" s="1661">
        <v>541500</v>
      </c>
      <c r="F830" s="1661">
        <v>941000</v>
      </c>
      <c r="G830" s="2216">
        <v>927600</v>
      </c>
      <c r="H830" s="1925">
        <v>578847.25</v>
      </c>
      <c r="I830" s="1769">
        <f t="shared" si="165"/>
        <v>0.62402678956446744</v>
      </c>
    </row>
    <row r="831" spans="1:9" ht="17.100000000000001" customHeight="1">
      <c r="A831" s="1614"/>
      <c r="B831" s="1627"/>
      <c r="C831" s="2283" t="s">
        <v>317</v>
      </c>
      <c r="D831" s="2282" t="s">
        <v>775</v>
      </c>
      <c r="E831" s="1661">
        <v>60000</v>
      </c>
      <c r="F831" s="1661">
        <v>61200</v>
      </c>
      <c r="G831" s="2216">
        <v>65200</v>
      </c>
      <c r="H831" s="1925">
        <v>58373.9</v>
      </c>
      <c r="I831" s="1769">
        <f t="shared" si="165"/>
        <v>0.89530521472392643</v>
      </c>
    </row>
    <row r="832" spans="1:9" ht="17.100000000000001" customHeight="1">
      <c r="A832" s="1614"/>
      <c r="B832" s="1627"/>
      <c r="C832" s="2283" t="s">
        <v>23</v>
      </c>
      <c r="D832" s="2282" t="s">
        <v>776</v>
      </c>
      <c r="E832" s="1661">
        <f>45000+2006650+690000</f>
        <v>2741650</v>
      </c>
      <c r="F832" s="1661">
        <v>2577313</v>
      </c>
      <c r="G832" s="2216">
        <v>2666313</v>
      </c>
      <c r="H832" s="1925">
        <f>2115682.76+111.6</f>
        <v>2115794.36</v>
      </c>
      <c r="I832" s="1769">
        <f t="shared" si="165"/>
        <v>0.79352812666779926</v>
      </c>
    </row>
    <row r="833" spans="1:9" ht="16.5" customHeight="1">
      <c r="A833" s="1614"/>
      <c r="B833" s="1627"/>
      <c r="C833" s="2283" t="s">
        <v>318</v>
      </c>
      <c r="D833" s="2282" t="s">
        <v>777</v>
      </c>
      <c r="E833" s="1661">
        <v>190000</v>
      </c>
      <c r="F833" s="1661">
        <v>193800</v>
      </c>
      <c r="G833" s="2216">
        <v>163800</v>
      </c>
      <c r="H833" s="1925">
        <v>69422.14</v>
      </c>
      <c r="I833" s="1769">
        <f t="shared" ref="I833:I897" si="186">H833/G833</f>
        <v>0.42382258852258853</v>
      </c>
    </row>
    <row r="834" spans="1:9" ht="17.100000000000001" customHeight="1">
      <c r="A834" s="1614"/>
      <c r="B834" s="1627"/>
      <c r="C834" s="2283" t="s">
        <v>916</v>
      </c>
      <c r="D834" s="2282" t="s">
        <v>917</v>
      </c>
      <c r="E834" s="1661">
        <v>10000</v>
      </c>
      <c r="F834" s="1661">
        <v>10200</v>
      </c>
      <c r="G834" s="2216">
        <v>10200</v>
      </c>
      <c r="H834" s="1925">
        <v>1107</v>
      </c>
      <c r="I834" s="1769">
        <f t="shared" si="186"/>
        <v>0.10852941176470589</v>
      </c>
    </row>
    <row r="835" spans="1:9" ht="17.100000000000001" customHeight="1">
      <c r="A835" s="1614"/>
      <c r="B835" s="1627"/>
      <c r="C835" s="2283" t="s">
        <v>327</v>
      </c>
      <c r="D835" s="2282" t="s">
        <v>778</v>
      </c>
      <c r="E835" s="1661">
        <v>60000</v>
      </c>
      <c r="F835" s="1661">
        <v>61200</v>
      </c>
      <c r="G835" s="2216">
        <v>12200</v>
      </c>
      <c r="H835" s="1925">
        <v>0</v>
      </c>
      <c r="I835" s="1769">
        <f t="shared" si="186"/>
        <v>0</v>
      </c>
    </row>
    <row r="836" spans="1:9" ht="28.5" customHeight="1">
      <c r="A836" s="1614"/>
      <c r="B836" s="1627"/>
      <c r="C836" s="2283" t="s">
        <v>779</v>
      </c>
      <c r="D836" s="2282" t="s">
        <v>780</v>
      </c>
      <c r="E836" s="1661">
        <v>60000</v>
      </c>
      <c r="F836" s="1661">
        <v>0</v>
      </c>
      <c r="G836" s="2216">
        <v>10000</v>
      </c>
      <c r="H836" s="1925">
        <v>10000</v>
      </c>
      <c r="I836" s="1769">
        <f t="shared" si="186"/>
        <v>1</v>
      </c>
    </row>
    <row r="837" spans="1:9" ht="17.100000000000001" customHeight="1">
      <c r="A837" s="1614"/>
      <c r="B837" s="1627"/>
      <c r="C837" s="2283" t="s">
        <v>328</v>
      </c>
      <c r="D837" s="2282" t="s">
        <v>781</v>
      </c>
      <c r="E837" s="1661">
        <v>150000</v>
      </c>
      <c r="F837" s="1661">
        <v>153000</v>
      </c>
      <c r="G837" s="2216">
        <v>93000</v>
      </c>
      <c r="H837" s="1925">
        <v>81834.23</v>
      </c>
      <c r="I837" s="1769">
        <f t="shared" si="186"/>
        <v>0.87993795698924726</v>
      </c>
    </row>
    <row r="838" spans="1:9" ht="17.100000000000001" customHeight="1">
      <c r="A838" s="1638"/>
      <c r="B838" s="1638"/>
      <c r="C838" s="2243" t="s">
        <v>899</v>
      </c>
      <c r="D838" s="2279" t="s">
        <v>900</v>
      </c>
      <c r="E838" s="1661">
        <v>250000</v>
      </c>
      <c r="F838" s="1661">
        <v>255000</v>
      </c>
      <c r="G838" s="2216">
        <v>115000</v>
      </c>
      <c r="H838" s="2284">
        <v>75880.3</v>
      </c>
      <c r="I838" s="1769">
        <f t="shared" si="186"/>
        <v>0.65982869565217395</v>
      </c>
    </row>
    <row r="839" spans="1:9" ht="17.100000000000001" customHeight="1" thickBot="1">
      <c r="A839" s="2271"/>
      <c r="B839" s="2271"/>
      <c r="C839" s="2110" t="s">
        <v>333</v>
      </c>
      <c r="D839" s="2111" t="s">
        <v>782</v>
      </c>
      <c r="E839" s="1814">
        <v>150000</v>
      </c>
      <c r="F839" s="1814">
        <v>230000</v>
      </c>
      <c r="G839" s="1967">
        <v>180000</v>
      </c>
      <c r="H839" s="1815">
        <v>144078.70000000001</v>
      </c>
      <c r="I839" s="1651">
        <f t="shared" si="186"/>
        <v>0.80043722222222224</v>
      </c>
    </row>
    <row r="840" spans="1:9" ht="17.100000000000001" customHeight="1">
      <c r="A840" s="1614"/>
      <c r="B840" s="1627"/>
      <c r="C840" s="1659" t="s">
        <v>319</v>
      </c>
      <c r="D840" s="1660" t="s">
        <v>783</v>
      </c>
      <c r="E840" s="1661">
        <v>1376156</v>
      </c>
      <c r="F840" s="1661">
        <v>1853679</v>
      </c>
      <c r="G840" s="1662">
        <v>1858079</v>
      </c>
      <c r="H840" s="1663">
        <v>1736403.28</v>
      </c>
      <c r="I840" s="1769">
        <f t="shared" si="186"/>
        <v>0.9345153139344452</v>
      </c>
    </row>
    <row r="841" spans="1:9" ht="17.100000000000001" customHeight="1">
      <c r="A841" s="1614"/>
      <c r="B841" s="1627"/>
      <c r="C841" s="2283" t="s">
        <v>785</v>
      </c>
      <c r="D841" s="2282" t="s">
        <v>786</v>
      </c>
      <c r="E841" s="1661">
        <v>10000</v>
      </c>
      <c r="F841" s="1661">
        <v>10200</v>
      </c>
      <c r="G841" s="2216">
        <v>10200</v>
      </c>
      <c r="H841" s="1925">
        <v>1110</v>
      </c>
      <c r="I841" s="1769">
        <f t="shared" si="186"/>
        <v>0.10882352941176471</v>
      </c>
    </row>
    <row r="842" spans="1:9" ht="17.100000000000001" customHeight="1">
      <c r="A842" s="1614"/>
      <c r="B842" s="1627"/>
      <c r="C842" s="2283" t="s">
        <v>334</v>
      </c>
      <c r="D842" s="2282" t="s">
        <v>787</v>
      </c>
      <c r="E842" s="1661">
        <v>170000</v>
      </c>
      <c r="F842" s="1661">
        <v>180000</v>
      </c>
      <c r="G842" s="2216">
        <v>180000</v>
      </c>
      <c r="H842" s="1925">
        <v>145684.26999999999</v>
      </c>
      <c r="I842" s="1769">
        <f t="shared" si="186"/>
        <v>0.80935705555555548</v>
      </c>
    </row>
    <row r="843" spans="1:9" ht="16.5" customHeight="1">
      <c r="A843" s="1614"/>
      <c r="B843" s="1627"/>
      <c r="C843" s="2243" t="s">
        <v>788</v>
      </c>
      <c r="D843" s="2279" t="s">
        <v>789</v>
      </c>
      <c r="E843" s="1661">
        <v>100000</v>
      </c>
      <c r="F843" s="1661">
        <v>102000</v>
      </c>
      <c r="G843" s="2216">
        <v>172000</v>
      </c>
      <c r="H843" s="1925">
        <v>12391.76</v>
      </c>
      <c r="I843" s="1769">
        <f t="shared" si="186"/>
        <v>7.2045116279069774E-2</v>
      </c>
    </row>
    <row r="844" spans="1:9" ht="0.75" customHeight="1">
      <c r="A844" s="1614"/>
      <c r="B844" s="1627"/>
      <c r="C844" s="1690" t="s">
        <v>948</v>
      </c>
      <c r="D844" s="1691" t="s">
        <v>949</v>
      </c>
      <c r="E844" s="1661"/>
      <c r="F844" s="1661">
        <v>102000</v>
      </c>
      <c r="G844" s="1881"/>
      <c r="H844" s="1663"/>
      <c r="I844" s="1769" t="e">
        <f t="shared" si="186"/>
        <v>#DIV/0!</v>
      </c>
    </row>
    <row r="845" spans="1:9" ht="17.100000000000001" customHeight="1">
      <c r="A845" s="1614"/>
      <c r="B845" s="1627"/>
      <c r="C845" s="2060" t="s">
        <v>848</v>
      </c>
      <c r="D845" s="2109" t="s">
        <v>849</v>
      </c>
      <c r="E845" s="1923">
        <v>135000</v>
      </c>
      <c r="F845" s="1923">
        <v>0</v>
      </c>
      <c r="G845" s="2067">
        <v>102000</v>
      </c>
      <c r="H845" s="1925">
        <f>83711.9+248.4</f>
        <v>83960.299999999988</v>
      </c>
      <c r="I845" s="2285">
        <f t="shared" si="186"/>
        <v>0.82314019607843125</v>
      </c>
    </row>
    <row r="846" spans="1:9" ht="25.5" customHeight="1">
      <c r="A846" s="1614"/>
      <c r="B846" s="1627"/>
      <c r="C846" s="2286" t="s">
        <v>64</v>
      </c>
      <c r="D846" s="2287" t="s">
        <v>790</v>
      </c>
      <c r="E846" s="1661">
        <v>200000</v>
      </c>
      <c r="F846" s="1661">
        <v>204000</v>
      </c>
      <c r="G846" s="2067">
        <v>204000</v>
      </c>
      <c r="H846" s="1925">
        <v>181296.74</v>
      </c>
      <c r="I846" s="1769">
        <f t="shared" si="186"/>
        <v>0.88870950980392149</v>
      </c>
    </row>
    <row r="847" spans="1:9" ht="22.5" customHeight="1">
      <c r="A847" s="1614"/>
      <c r="B847" s="1627"/>
      <c r="C847" s="2269" t="s">
        <v>335</v>
      </c>
      <c r="D847" s="2270" t="s">
        <v>768</v>
      </c>
      <c r="E847" s="1923"/>
      <c r="F847" s="1923">
        <v>0</v>
      </c>
      <c r="G847" s="2067">
        <v>100000</v>
      </c>
      <c r="H847" s="1925">
        <v>90218.89</v>
      </c>
      <c r="I847" s="1769">
        <f t="shared" si="186"/>
        <v>0.90218889999999996</v>
      </c>
    </row>
    <row r="848" spans="1:9" ht="17.100000000000001" customHeight="1">
      <c r="A848" s="1638"/>
      <c r="B848" s="1638"/>
      <c r="C848" s="2288"/>
      <c r="D848" s="2289"/>
      <c r="E848" s="1951"/>
      <c r="F848" s="1951"/>
      <c r="G848" s="2067"/>
      <c r="H848" s="1925"/>
      <c r="I848" s="2285"/>
    </row>
    <row r="849" spans="1:9" ht="17.100000000000001" customHeight="1">
      <c r="A849" s="1638"/>
      <c r="B849" s="1638"/>
      <c r="C849" s="4874" t="s">
        <v>791</v>
      </c>
      <c r="D849" s="4874"/>
      <c r="E849" s="1661">
        <f t="shared" ref="E849:H849" si="187">E850</f>
        <v>100000</v>
      </c>
      <c r="F849" s="1661">
        <f t="shared" si="187"/>
        <v>71400</v>
      </c>
      <c r="G849" s="1760">
        <f t="shared" si="187"/>
        <v>111400</v>
      </c>
      <c r="H849" s="1663">
        <f t="shared" si="187"/>
        <v>98793.75</v>
      </c>
      <c r="I849" s="1769">
        <f t="shared" si="186"/>
        <v>0.88683797127468578</v>
      </c>
    </row>
    <row r="850" spans="1:9" ht="17.100000000000001" customHeight="1">
      <c r="A850" s="1614"/>
      <c r="B850" s="1627"/>
      <c r="C850" s="1659" t="s">
        <v>314</v>
      </c>
      <c r="D850" s="1660" t="s">
        <v>792</v>
      </c>
      <c r="E850" s="1661">
        <v>100000</v>
      </c>
      <c r="F850" s="1661">
        <v>71400</v>
      </c>
      <c r="G850" s="2067">
        <v>111400</v>
      </c>
      <c r="H850" s="1925">
        <v>98793.75</v>
      </c>
      <c r="I850" s="1769">
        <f t="shared" si="186"/>
        <v>0.88683797127468578</v>
      </c>
    </row>
    <row r="851" spans="1:9" ht="17.100000000000001" customHeight="1">
      <c r="A851" s="4716"/>
      <c r="B851" s="4716"/>
      <c r="C851" s="1876"/>
      <c r="D851" s="1877"/>
      <c r="E851" s="1878"/>
      <c r="F851" s="1878"/>
      <c r="G851" s="2067"/>
      <c r="H851" s="1925"/>
      <c r="I851" s="1769"/>
    </row>
    <row r="852" spans="1:9" ht="25.5" customHeight="1">
      <c r="A852" s="4716"/>
      <c r="B852" s="4716"/>
      <c r="C852" s="4924" t="s">
        <v>803</v>
      </c>
      <c r="D852" s="4925"/>
      <c r="E852" s="1661">
        <f>SUM(E853:E892)</f>
        <v>36970959</v>
      </c>
      <c r="F852" s="1661">
        <f>SUM(F853:F894)</f>
        <v>38741224</v>
      </c>
      <c r="G852" s="1661">
        <f t="shared" ref="G852" si="188">SUM(G853:G894)</f>
        <v>36793004</v>
      </c>
      <c r="H852" s="1663">
        <f>SUM(H853:H894)</f>
        <v>33046879.559999999</v>
      </c>
      <c r="I852" s="1769">
        <f t="shared" si="186"/>
        <v>0.89818378406938448</v>
      </c>
    </row>
    <row r="853" spans="1:9" ht="17.100000000000001" customHeight="1">
      <c r="A853" s="1614"/>
      <c r="B853" s="1627"/>
      <c r="C853" s="2290" t="s">
        <v>974</v>
      </c>
      <c r="D853" s="1660" t="s">
        <v>792</v>
      </c>
      <c r="E853" s="1923">
        <v>21250</v>
      </c>
      <c r="F853" s="1923">
        <v>21250</v>
      </c>
      <c r="G853" s="2067">
        <f>21250</f>
        <v>21250</v>
      </c>
      <c r="H853" s="1925">
        <v>14560.5</v>
      </c>
      <c r="I853" s="1769">
        <f t="shared" si="186"/>
        <v>0.68520000000000003</v>
      </c>
    </row>
    <row r="854" spans="1:9" ht="17.100000000000001" customHeight="1">
      <c r="A854" s="1614"/>
      <c r="B854" s="1627"/>
      <c r="C854" s="2291" t="s">
        <v>975</v>
      </c>
      <c r="D854" s="1696" t="s">
        <v>792</v>
      </c>
      <c r="E854" s="1923">
        <v>3750</v>
      </c>
      <c r="F854" s="1923">
        <v>3750</v>
      </c>
      <c r="G854" s="2067">
        <f>3750</f>
        <v>3750</v>
      </c>
      <c r="H854" s="1925">
        <v>2569.5</v>
      </c>
      <c r="I854" s="1769">
        <f t="shared" si="186"/>
        <v>0.68520000000000003</v>
      </c>
    </row>
    <row r="855" spans="1:9" ht="17.100000000000001" customHeight="1">
      <c r="A855" s="1614"/>
      <c r="B855" s="1627"/>
      <c r="C855" s="2292" t="s">
        <v>976</v>
      </c>
      <c r="D855" s="2287" t="s">
        <v>977</v>
      </c>
      <c r="E855" s="1923">
        <v>10200</v>
      </c>
      <c r="F855" s="1923">
        <v>10200</v>
      </c>
      <c r="G855" s="2067">
        <v>0</v>
      </c>
      <c r="H855" s="1925">
        <v>0</v>
      </c>
      <c r="I855" s="1769"/>
    </row>
    <row r="856" spans="1:9" ht="17.100000000000001" customHeight="1">
      <c r="A856" s="1614"/>
      <c r="B856" s="1627"/>
      <c r="C856" s="2292" t="s">
        <v>978</v>
      </c>
      <c r="D856" s="2287" t="s">
        <v>977</v>
      </c>
      <c r="E856" s="1923">
        <v>1800</v>
      </c>
      <c r="F856" s="1923">
        <v>1800</v>
      </c>
      <c r="G856" s="2067">
        <v>0</v>
      </c>
      <c r="H856" s="1925">
        <v>0</v>
      </c>
      <c r="I856" s="1769"/>
    </row>
    <row r="857" spans="1:9" ht="17.100000000000001" customHeight="1">
      <c r="A857" s="1614"/>
      <c r="B857" s="1627"/>
      <c r="C857" s="1659" t="s">
        <v>807</v>
      </c>
      <c r="D857" s="1660" t="s">
        <v>763</v>
      </c>
      <c r="E857" s="1923">
        <v>18688873</v>
      </c>
      <c r="F857" s="1923">
        <v>20764713</v>
      </c>
      <c r="G857" s="2067">
        <f>20764713</f>
        <v>20764713</v>
      </c>
      <c r="H857" s="1925">
        <v>19230780.670000002</v>
      </c>
      <c r="I857" s="1769">
        <f t="shared" si="186"/>
        <v>0.9261279301091232</v>
      </c>
    </row>
    <row r="858" spans="1:9" ht="17.100000000000001" customHeight="1">
      <c r="A858" s="1614"/>
      <c r="B858" s="1627"/>
      <c r="C858" s="2283" t="s">
        <v>808</v>
      </c>
      <c r="D858" s="2282" t="s">
        <v>763</v>
      </c>
      <c r="E858" s="1923">
        <v>3298037</v>
      </c>
      <c r="F858" s="1923">
        <v>3664362</v>
      </c>
      <c r="G858" s="2216">
        <f>3664362</f>
        <v>3664362</v>
      </c>
      <c r="H858" s="1925">
        <v>3393670.58</v>
      </c>
      <c r="I858" s="1769">
        <f t="shared" si="186"/>
        <v>0.9261286357625147</v>
      </c>
    </row>
    <row r="859" spans="1:9" ht="17.100000000000001" customHeight="1">
      <c r="A859" s="1614"/>
      <c r="B859" s="1627"/>
      <c r="C859" s="2283" t="s">
        <v>809</v>
      </c>
      <c r="D859" s="2282" t="s">
        <v>764</v>
      </c>
      <c r="E859" s="1923">
        <v>1276809</v>
      </c>
      <c r="F859" s="1923">
        <v>1356848</v>
      </c>
      <c r="G859" s="2216">
        <f>1356848</f>
        <v>1356848</v>
      </c>
      <c r="H859" s="1925">
        <v>1301270.73</v>
      </c>
      <c r="I859" s="1769">
        <f t="shared" si="186"/>
        <v>0.95903942814523069</v>
      </c>
    </row>
    <row r="860" spans="1:9" ht="17.100000000000001" customHeight="1">
      <c r="A860" s="1614"/>
      <c r="B860" s="1627"/>
      <c r="C860" s="2283" t="s">
        <v>810</v>
      </c>
      <c r="D860" s="2282" t="s">
        <v>764</v>
      </c>
      <c r="E860" s="1923">
        <v>225319</v>
      </c>
      <c r="F860" s="1923">
        <v>239444</v>
      </c>
      <c r="G860" s="2216">
        <f>239444</f>
        <v>239444</v>
      </c>
      <c r="H860" s="1925">
        <v>229636.13</v>
      </c>
      <c r="I860" s="1769">
        <f t="shared" si="186"/>
        <v>0.95903898197490856</v>
      </c>
    </row>
    <row r="861" spans="1:9" ht="17.100000000000001" customHeight="1">
      <c r="A861" s="1614"/>
      <c r="B861" s="1627"/>
      <c r="C861" s="2283" t="s">
        <v>811</v>
      </c>
      <c r="D861" s="2282" t="s">
        <v>765</v>
      </c>
      <c r="E861" s="1923">
        <v>3488277</v>
      </c>
      <c r="F861" s="1923">
        <v>3809018</v>
      </c>
      <c r="G861" s="2216">
        <f>3802694+833</f>
        <v>3803527</v>
      </c>
      <c r="H861" s="1925">
        <v>3460396.48</v>
      </c>
      <c r="I861" s="1769">
        <f t="shared" si="186"/>
        <v>0.90978622736212988</v>
      </c>
    </row>
    <row r="862" spans="1:9" ht="17.100000000000001" customHeight="1">
      <c r="A862" s="1614"/>
      <c r="B862" s="1627"/>
      <c r="C862" s="2283" t="s">
        <v>812</v>
      </c>
      <c r="D862" s="2282" t="s">
        <v>765</v>
      </c>
      <c r="E862" s="1923">
        <v>615578</v>
      </c>
      <c r="F862" s="1923">
        <v>672180</v>
      </c>
      <c r="G862" s="2216">
        <f>671064+147</f>
        <v>671211</v>
      </c>
      <c r="H862" s="1925">
        <v>610664.61</v>
      </c>
      <c r="I862" s="1769">
        <f t="shared" si="186"/>
        <v>0.90979529536911641</v>
      </c>
    </row>
    <row r="863" spans="1:9" ht="28.5" customHeight="1">
      <c r="A863" s="1614"/>
      <c r="B863" s="1627"/>
      <c r="C863" s="2283" t="s">
        <v>813</v>
      </c>
      <c r="D863" s="2282" t="s">
        <v>766</v>
      </c>
      <c r="E863" s="1923">
        <v>491268</v>
      </c>
      <c r="F863" s="1923">
        <v>542741</v>
      </c>
      <c r="G863" s="2216">
        <f>541976+119</f>
        <v>542095</v>
      </c>
      <c r="H863" s="1925">
        <v>394564.96</v>
      </c>
      <c r="I863" s="1769">
        <f t="shared" si="186"/>
        <v>0.72785205545153531</v>
      </c>
    </row>
    <row r="864" spans="1:9" ht="28.5" customHeight="1">
      <c r="A864" s="1614"/>
      <c r="B864" s="1627"/>
      <c r="C864" s="2283" t="s">
        <v>814</v>
      </c>
      <c r="D864" s="2282" t="s">
        <v>766</v>
      </c>
      <c r="E864" s="1923">
        <v>86694</v>
      </c>
      <c r="F864" s="1923">
        <v>95778</v>
      </c>
      <c r="G864" s="2216">
        <f>95643+21</f>
        <v>95664</v>
      </c>
      <c r="H864" s="1925">
        <v>69632.52</v>
      </c>
      <c r="I864" s="1769">
        <f t="shared" si="186"/>
        <v>0.72788635223281495</v>
      </c>
    </row>
    <row r="865" spans="1:9" ht="17.100000000000001" customHeight="1">
      <c r="A865" s="1614"/>
      <c r="B865" s="1627"/>
      <c r="C865" s="2283" t="s">
        <v>815</v>
      </c>
      <c r="D865" s="2282" t="s">
        <v>767</v>
      </c>
      <c r="E865" s="1923">
        <f>906950+127500</f>
        <v>1034450</v>
      </c>
      <c r="F865" s="1923">
        <v>367050</v>
      </c>
      <c r="G865" s="2216">
        <f>50000+27200+29750+45730</f>
        <v>152680</v>
      </c>
      <c r="H865" s="1925">
        <v>36677.5</v>
      </c>
      <c r="I865" s="1769">
        <f t="shared" si="186"/>
        <v>0.24022465286874509</v>
      </c>
    </row>
    <row r="866" spans="1:9" ht="17.100000000000001" customHeight="1" thickBot="1">
      <c r="A866" s="1644"/>
      <c r="B866" s="1645"/>
      <c r="C866" s="2293" t="s">
        <v>816</v>
      </c>
      <c r="D866" s="2294" t="s">
        <v>767</v>
      </c>
      <c r="E866" s="1678">
        <f>160050+22500</f>
        <v>182550</v>
      </c>
      <c r="F866" s="1678">
        <v>64773</v>
      </c>
      <c r="G866" s="2273">
        <f>8823+4800+5250+8070</f>
        <v>26943</v>
      </c>
      <c r="H866" s="1747">
        <v>6472.5</v>
      </c>
      <c r="I866" s="1651">
        <f t="shared" si="186"/>
        <v>0.24022937312103329</v>
      </c>
    </row>
    <row r="867" spans="1:9" ht="17.100000000000001" customHeight="1">
      <c r="A867" s="1614"/>
      <c r="B867" s="1627"/>
      <c r="C867" s="1659" t="s">
        <v>820</v>
      </c>
      <c r="D867" s="1660" t="s">
        <v>771</v>
      </c>
      <c r="E867" s="1661">
        <f>969000+102000</f>
        <v>1071000</v>
      </c>
      <c r="F867" s="1661">
        <v>1139000</v>
      </c>
      <c r="G867" s="1881">
        <f>119000+850000</f>
        <v>969000</v>
      </c>
      <c r="H867" s="1663">
        <v>852821.85</v>
      </c>
      <c r="I867" s="1664">
        <f t="shared" si="186"/>
        <v>0.88010510835913314</v>
      </c>
    </row>
    <row r="868" spans="1:9" ht="17.100000000000001" customHeight="1">
      <c r="A868" s="1614"/>
      <c r="B868" s="1627"/>
      <c r="C868" s="2283" t="s">
        <v>821</v>
      </c>
      <c r="D868" s="2282" t="s">
        <v>771</v>
      </c>
      <c r="E868" s="1923">
        <f>171000+18000</f>
        <v>189000</v>
      </c>
      <c r="F868" s="1923">
        <v>201000</v>
      </c>
      <c r="G868" s="2216">
        <f>21000+150000</f>
        <v>171000</v>
      </c>
      <c r="H868" s="1925">
        <v>150498</v>
      </c>
      <c r="I868" s="1664">
        <f t="shared" si="186"/>
        <v>0.88010526315789472</v>
      </c>
    </row>
    <row r="869" spans="1:9" ht="17.100000000000001" customHeight="1">
      <c r="A869" s="1614"/>
      <c r="B869" s="1627"/>
      <c r="C869" s="2283" t="s">
        <v>979</v>
      </c>
      <c r="D869" s="2282" t="s">
        <v>773</v>
      </c>
      <c r="E869" s="1923">
        <v>318750</v>
      </c>
      <c r="F869" s="1923">
        <v>391000</v>
      </c>
      <c r="G869" s="2216">
        <f>348500</f>
        <v>348500</v>
      </c>
      <c r="H869" s="1925">
        <v>261631.44</v>
      </c>
      <c r="I869" s="1664">
        <f t="shared" si="186"/>
        <v>0.75073583931133425</v>
      </c>
    </row>
    <row r="870" spans="1:9" ht="17.100000000000001" customHeight="1">
      <c r="A870" s="1614"/>
      <c r="B870" s="1627"/>
      <c r="C870" s="2283" t="s">
        <v>980</v>
      </c>
      <c r="D870" s="2282" t="s">
        <v>773</v>
      </c>
      <c r="E870" s="1923">
        <v>56250</v>
      </c>
      <c r="F870" s="1923">
        <v>69000</v>
      </c>
      <c r="G870" s="2216">
        <f>61500</f>
        <v>61500</v>
      </c>
      <c r="H870" s="1925">
        <v>46170.5</v>
      </c>
      <c r="I870" s="1664">
        <f t="shared" si="186"/>
        <v>0.75073983739837402</v>
      </c>
    </row>
    <row r="871" spans="1:9" ht="17.100000000000001" customHeight="1">
      <c r="A871" s="1614"/>
      <c r="B871" s="1627"/>
      <c r="C871" s="2283" t="s">
        <v>981</v>
      </c>
      <c r="D871" s="2282" t="s">
        <v>775</v>
      </c>
      <c r="E871" s="1923">
        <v>21250</v>
      </c>
      <c r="F871" s="1923">
        <v>22950</v>
      </c>
      <c r="G871" s="2216">
        <f>22950</f>
        <v>22950</v>
      </c>
      <c r="H871" s="1925">
        <v>15666.4</v>
      </c>
      <c r="I871" s="1664">
        <f t="shared" si="186"/>
        <v>0.68263180827886705</v>
      </c>
    </row>
    <row r="872" spans="1:9" ht="17.100000000000001" customHeight="1">
      <c r="A872" s="1614"/>
      <c r="B872" s="1627"/>
      <c r="C872" s="2283" t="s">
        <v>982</v>
      </c>
      <c r="D872" s="2282" t="s">
        <v>775</v>
      </c>
      <c r="E872" s="1923">
        <v>3750</v>
      </c>
      <c r="F872" s="1923">
        <v>4050</v>
      </c>
      <c r="G872" s="2216">
        <f>4050</f>
        <v>4050</v>
      </c>
      <c r="H872" s="1925">
        <v>2764.7</v>
      </c>
      <c r="I872" s="1664">
        <f t="shared" si="186"/>
        <v>0.6826419753086419</v>
      </c>
    </row>
    <row r="873" spans="1:9" ht="17.100000000000001" customHeight="1">
      <c r="A873" s="1614"/>
      <c r="B873" s="1627"/>
      <c r="C873" s="2283" t="s">
        <v>824</v>
      </c>
      <c r="D873" s="2282" t="s">
        <v>776</v>
      </c>
      <c r="E873" s="1923">
        <f>414803+2482000+17000+69700</f>
        <v>2983503</v>
      </c>
      <c r="F873" s="1923">
        <v>2330660</v>
      </c>
      <c r="G873" s="2216">
        <f>1940000+42500+140675</f>
        <v>2123175</v>
      </c>
      <c r="H873" s="1925">
        <v>1654104.4</v>
      </c>
      <c r="I873" s="1664">
        <f t="shared" si="186"/>
        <v>0.77907115522743053</v>
      </c>
    </row>
    <row r="874" spans="1:9" ht="17.100000000000001" customHeight="1">
      <c r="A874" s="1614"/>
      <c r="B874" s="1627"/>
      <c r="C874" s="2283" t="s">
        <v>825</v>
      </c>
      <c r="D874" s="2282" t="s">
        <v>776</v>
      </c>
      <c r="E874" s="1923">
        <f>73201+438000+3000+12300</f>
        <v>526501</v>
      </c>
      <c r="F874" s="1923">
        <v>411293</v>
      </c>
      <c r="G874" s="2216">
        <f>342353+7500+24825</f>
        <v>374678</v>
      </c>
      <c r="H874" s="1925">
        <v>291901</v>
      </c>
      <c r="I874" s="1664">
        <f t="shared" si="186"/>
        <v>0.77907162950586906</v>
      </c>
    </row>
    <row r="875" spans="1:9" ht="26.25" hidden="1" customHeight="1">
      <c r="A875" s="1614"/>
      <c r="B875" s="1627"/>
      <c r="C875" s="2283" t="s">
        <v>983</v>
      </c>
      <c r="D875" s="2282" t="s">
        <v>984</v>
      </c>
      <c r="E875" s="1923"/>
      <c r="F875" s="1923"/>
      <c r="G875" s="2216"/>
      <c r="H875" s="1925"/>
      <c r="I875" s="1664" t="e">
        <f t="shared" si="186"/>
        <v>#DIV/0!</v>
      </c>
    </row>
    <row r="876" spans="1:9" ht="16.5" customHeight="1">
      <c r="A876" s="1638"/>
      <c r="B876" s="1638"/>
      <c r="C876" s="2295" t="s">
        <v>918</v>
      </c>
      <c r="D876" s="2296" t="s">
        <v>917</v>
      </c>
      <c r="E876" s="1923">
        <f>4250+3060</f>
        <v>7310</v>
      </c>
      <c r="F876" s="1923">
        <v>5100</v>
      </c>
      <c r="G876" s="2216">
        <f>2550</f>
        <v>2550</v>
      </c>
      <c r="H876" s="1925">
        <v>0</v>
      </c>
      <c r="I876" s="1664">
        <f t="shared" si="186"/>
        <v>0</v>
      </c>
    </row>
    <row r="877" spans="1:9" ht="16.5" customHeight="1">
      <c r="A877" s="1638"/>
      <c r="B877" s="1638"/>
      <c r="C877" s="1659" t="s">
        <v>919</v>
      </c>
      <c r="D877" s="1660" t="s">
        <v>917</v>
      </c>
      <c r="E877" s="1661">
        <f>750+540</f>
        <v>1290</v>
      </c>
      <c r="F877" s="1661">
        <v>900</v>
      </c>
      <c r="G877" s="1881">
        <f>450</f>
        <v>450</v>
      </c>
      <c r="H877" s="1663">
        <v>0</v>
      </c>
      <c r="I877" s="1769">
        <f t="shared" si="186"/>
        <v>0</v>
      </c>
    </row>
    <row r="878" spans="1:9" ht="17.100000000000001" customHeight="1">
      <c r="A878" s="1614"/>
      <c r="B878" s="1627"/>
      <c r="C878" s="2297" t="s">
        <v>826</v>
      </c>
      <c r="D878" s="2298" t="s">
        <v>778</v>
      </c>
      <c r="E878" s="1923">
        <f>8500+238000+1220600</f>
        <v>1467100</v>
      </c>
      <c r="F878" s="1923">
        <v>1483250</v>
      </c>
      <c r="G878" s="2216">
        <f>408255+225250</f>
        <v>633505</v>
      </c>
      <c r="H878" s="1925">
        <v>621537</v>
      </c>
      <c r="I878" s="1769">
        <f t="shared" si="186"/>
        <v>0.98110827854555216</v>
      </c>
    </row>
    <row r="879" spans="1:9" ht="16.5" customHeight="1">
      <c r="A879" s="1614"/>
      <c r="B879" s="1627"/>
      <c r="C879" s="2299" t="s">
        <v>827</v>
      </c>
      <c r="D879" s="2296" t="s">
        <v>778</v>
      </c>
      <c r="E879" s="1923">
        <f>1500+42000+215400</f>
        <v>258900</v>
      </c>
      <c r="F879" s="1923">
        <v>261750</v>
      </c>
      <c r="G879" s="2216">
        <f>72045+39750</f>
        <v>111795</v>
      </c>
      <c r="H879" s="1925">
        <v>109683</v>
      </c>
      <c r="I879" s="1769">
        <f t="shared" si="186"/>
        <v>0.98110827854555216</v>
      </c>
    </row>
    <row r="880" spans="1:9" ht="16.5" hidden="1" customHeight="1">
      <c r="A880" s="1614"/>
      <c r="B880" s="1627"/>
      <c r="C880" s="1659" t="s">
        <v>985</v>
      </c>
      <c r="D880" s="1660" t="s">
        <v>780</v>
      </c>
      <c r="E880" s="1661"/>
      <c r="F880" s="1661"/>
      <c r="G880" s="1881"/>
      <c r="H880" s="1663"/>
      <c r="I880" s="1769" t="e">
        <f t="shared" si="186"/>
        <v>#DIV/0!</v>
      </c>
    </row>
    <row r="881" spans="1:9" ht="20.100000000000001" hidden="1" customHeight="1">
      <c r="A881" s="1614"/>
      <c r="B881" s="1627"/>
      <c r="C881" s="2297" t="s">
        <v>986</v>
      </c>
      <c r="D881" s="2298" t="s">
        <v>780</v>
      </c>
      <c r="E881" s="1923"/>
      <c r="F881" s="1923"/>
      <c r="G881" s="2216"/>
      <c r="H881" s="1925"/>
      <c r="I881" s="1769" t="e">
        <f t="shared" si="186"/>
        <v>#DIV/0!</v>
      </c>
    </row>
    <row r="882" spans="1:9" ht="17.100000000000001" customHeight="1">
      <c r="A882" s="1614"/>
      <c r="B882" s="1627"/>
      <c r="C882" s="2297" t="s">
        <v>828</v>
      </c>
      <c r="D882" s="2298" t="s">
        <v>781</v>
      </c>
      <c r="E882" s="1923">
        <f>68000+8500</f>
        <v>76500</v>
      </c>
      <c r="F882" s="1923">
        <v>76000</v>
      </c>
      <c r="G882" s="2216">
        <f>8000+59500</f>
        <v>67500</v>
      </c>
      <c r="H882" s="1925">
        <v>8849.4599999999991</v>
      </c>
      <c r="I882" s="1769">
        <f t="shared" si="186"/>
        <v>0.13110311111111109</v>
      </c>
    </row>
    <row r="883" spans="1:9" ht="17.100000000000001" customHeight="1">
      <c r="A883" s="1614"/>
      <c r="B883" s="1627"/>
      <c r="C883" s="2297" t="s">
        <v>829</v>
      </c>
      <c r="D883" s="2298" t="s">
        <v>781</v>
      </c>
      <c r="E883" s="1923">
        <f>12000+1500</f>
        <v>13500</v>
      </c>
      <c r="F883" s="1923">
        <v>13412</v>
      </c>
      <c r="G883" s="2216">
        <f>1412+10500</f>
        <v>11912</v>
      </c>
      <c r="H883" s="1925">
        <v>1561.7</v>
      </c>
      <c r="I883" s="1769">
        <f t="shared" si="186"/>
        <v>0.13110308932169243</v>
      </c>
    </row>
    <row r="884" spans="1:9" ht="17.100000000000001" customHeight="1">
      <c r="A884" s="1614"/>
      <c r="B884" s="1627"/>
      <c r="C884" s="2297" t="s">
        <v>920</v>
      </c>
      <c r="D884" s="2298" t="s">
        <v>900</v>
      </c>
      <c r="E884" s="1923">
        <v>39525</v>
      </c>
      <c r="F884" s="1923">
        <v>67500</v>
      </c>
      <c r="G884" s="2216">
        <f>8000+59500</f>
        <v>67500</v>
      </c>
      <c r="H884" s="1925">
        <v>2157.6999999999998</v>
      </c>
      <c r="I884" s="1769">
        <f t="shared" si="186"/>
        <v>3.1965925925925925E-2</v>
      </c>
    </row>
    <row r="885" spans="1:9" ht="17.100000000000001" customHeight="1">
      <c r="A885" s="1614"/>
      <c r="B885" s="1627"/>
      <c r="C885" s="2297" t="s">
        <v>921</v>
      </c>
      <c r="D885" s="2298" t="s">
        <v>900</v>
      </c>
      <c r="E885" s="1923">
        <v>6975</v>
      </c>
      <c r="F885" s="1923">
        <v>11912</v>
      </c>
      <c r="G885" s="2216">
        <f>1412+10500</f>
        <v>11912</v>
      </c>
      <c r="H885" s="1925">
        <v>380.78</v>
      </c>
      <c r="I885" s="1769">
        <f t="shared" si="186"/>
        <v>3.19660846205507E-2</v>
      </c>
    </row>
    <row r="886" spans="1:9" ht="17.100000000000001" customHeight="1">
      <c r="A886" s="1614"/>
      <c r="B886" s="1627"/>
      <c r="C886" s="2297" t="s">
        <v>987</v>
      </c>
      <c r="D886" s="2298" t="s">
        <v>787</v>
      </c>
      <c r="E886" s="1923">
        <v>25500</v>
      </c>
      <c r="F886" s="1923">
        <v>51000</v>
      </c>
      <c r="G886" s="2216">
        <v>34000</v>
      </c>
      <c r="H886" s="1925">
        <v>15397.48</v>
      </c>
      <c r="I886" s="1769">
        <f t="shared" si="186"/>
        <v>0.4528670588235294</v>
      </c>
    </row>
    <row r="887" spans="1:9" ht="17.100000000000001" customHeight="1">
      <c r="A887" s="1614"/>
      <c r="B887" s="1627"/>
      <c r="C887" s="2297" t="s">
        <v>988</v>
      </c>
      <c r="D887" s="2298" t="s">
        <v>787</v>
      </c>
      <c r="E887" s="1923">
        <v>4500</v>
      </c>
      <c r="F887" s="1923">
        <v>9000</v>
      </c>
      <c r="G887" s="2216">
        <f>6000</f>
        <v>6000</v>
      </c>
      <c r="H887" s="1925">
        <v>2717.24</v>
      </c>
      <c r="I887" s="1769">
        <f t="shared" si="186"/>
        <v>0.45287333333333329</v>
      </c>
    </row>
    <row r="888" spans="1:9" ht="52.5" hidden="1" customHeight="1">
      <c r="A888" s="1614"/>
      <c r="B888" s="1627"/>
      <c r="C888" s="2240" t="s">
        <v>832</v>
      </c>
      <c r="D888" s="2241" t="s">
        <v>989</v>
      </c>
      <c r="E888" s="1923"/>
      <c r="F888" s="1923">
        <v>0</v>
      </c>
      <c r="G888" s="2216">
        <v>0</v>
      </c>
      <c r="H888" s="1925">
        <v>0</v>
      </c>
      <c r="I888" s="1769" t="e">
        <f t="shared" si="186"/>
        <v>#DIV/0!</v>
      </c>
    </row>
    <row r="889" spans="1:9" ht="17.100000000000001" customHeight="1">
      <c r="A889" s="1614"/>
      <c r="B889" s="1627"/>
      <c r="C889" s="2240" t="s">
        <v>990</v>
      </c>
      <c r="D889" s="2241" t="s">
        <v>849</v>
      </c>
      <c r="E889" s="1923">
        <f>89250+42500</f>
        <v>131750</v>
      </c>
      <c r="F889" s="1923">
        <v>102000</v>
      </c>
      <c r="G889" s="2216">
        <f>17000</f>
        <v>17000</v>
      </c>
      <c r="H889" s="1925">
        <v>9704.11</v>
      </c>
      <c r="I889" s="1769">
        <f t="shared" si="186"/>
        <v>0.57083000000000006</v>
      </c>
    </row>
    <row r="890" spans="1:9" ht="17.100000000000001" customHeight="1">
      <c r="A890" s="1614"/>
      <c r="B890" s="1627"/>
      <c r="C890" s="2060" t="s">
        <v>991</v>
      </c>
      <c r="D890" s="2109" t="s">
        <v>849</v>
      </c>
      <c r="E890" s="1923">
        <f>15750+7500</f>
        <v>23250</v>
      </c>
      <c r="F890" s="1923">
        <v>18000</v>
      </c>
      <c r="G890" s="2216">
        <f>3000</f>
        <v>3000</v>
      </c>
      <c r="H890" s="1925">
        <v>1712.49</v>
      </c>
      <c r="I890" s="1769">
        <f t="shared" si="186"/>
        <v>0.57082999999999995</v>
      </c>
    </row>
    <row r="891" spans="1:9" ht="25.5">
      <c r="A891" s="1614"/>
      <c r="B891" s="1627"/>
      <c r="C891" s="1659" t="s">
        <v>834</v>
      </c>
      <c r="D891" s="1660" t="s">
        <v>790</v>
      </c>
      <c r="E891" s="1923">
        <v>272000</v>
      </c>
      <c r="F891" s="1923">
        <v>195500</v>
      </c>
      <c r="G891" s="2216">
        <f>153000</f>
        <v>153000</v>
      </c>
      <c r="H891" s="1925">
        <v>122075.66</v>
      </c>
      <c r="I891" s="1769">
        <f t="shared" si="186"/>
        <v>0.79788013071895425</v>
      </c>
    </row>
    <row r="892" spans="1:9" ht="25.5">
      <c r="A892" s="1614"/>
      <c r="B892" s="1627"/>
      <c r="C892" s="2240" t="s">
        <v>835</v>
      </c>
      <c r="D892" s="2241" t="s">
        <v>790</v>
      </c>
      <c r="E892" s="2274">
        <v>48000</v>
      </c>
      <c r="F892" s="2274">
        <v>34500</v>
      </c>
      <c r="G892" s="2166">
        <f>27000</f>
        <v>27000</v>
      </c>
      <c r="H892" s="2300">
        <v>21542.78</v>
      </c>
      <c r="I892" s="1725">
        <f t="shared" si="186"/>
        <v>0.79788074074074067</v>
      </c>
    </row>
    <row r="893" spans="1:9" ht="22.5" customHeight="1">
      <c r="A893" s="1614"/>
      <c r="B893" s="1627"/>
      <c r="C893" s="2286" t="s">
        <v>836</v>
      </c>
      <c r="D893" s="2301" t="s">
        <v>768</v>
      </c>
      <c r="E893" s="2067"/>
      <c r="F893" s="1923">
        <v>194259</v>
      </c>
      <c r="G893" s="2302">
        <f>194259</f>
        <v>194259</v>
      </c>
      <c r="H893" s="1925">
        <v>87638.3</v>
      </c>
      <c r="I893" s="2303">
        <f t="shared" si="186"/>
        <v>0.45114151725273993</v>
      </c>
    </row>
    <row r="894" spans="1:9" ht="19.5" customHeight="1">
      <c r="A894" s="1614"/>
      <c r="B894" s="1627"/>
      <c r="C894" s="2286" t="s">
        <v>837</v>
      </c>
      <c r="D894" s="2301" t="s">
        <v>768</v>
      </c>
      <c r="E894" s="2067"/>
      <c r="F894" s="1923">
        <v>34281</v>
      </c>
      <c r="G894" s="2302">
        <f>34281</f>
        <v>34281</v>
      </c>
      <c r="H894" s="1925">
        <v>15466.89</v>
      </c>
      <c r="I894" s="2303">
        <f t="shared" si="186"/>
        <v>0.45117966220355299</v>
      </c>
    </row>
    <row r="895" spans="1:9" ht="15" customHeight="1">
      <c r="A895" s="1638"/>
      <c r="B895" s="1638"/>
      <c r="C895" s="1877"/>
      <c r="D895" s="1877"/>
      <c r="E895" s="1878"/>
      <c r="F895" s="1878"/>
      <c r="G895" s="1662"/>
      <c r="H895" s="1663"/>
      <c r="I895" s="1664"/>
    </row>
    <row r="896" spans="1:9" ht="17.100000000000001" customHeight="1">
      <c r="A896" s="1638"/>
      <c r="B896" s="1638"/>
      <c r="C896" s="4868" t="s">
        <v>793</v>
      </c>
      <c r="D896" s="4868"/>
      <c r="E896" s="1615">
        <f>E897</f>
        <v>19149409</v>
      </c>
      <c r="F896" s="1615">
        <f>F897</f>
        <v>7188990</v>
      </c>
      <c r="G896" s="1616">
        <f>G897</f>
        <v>6244901</v>
      </c>
      <c r="H896" s="1617">
        <f t="shared" ref="H896" si="189">H897</f>
        <v>1129004.6600000001</v>
      </c>
      <c r="I896" s="1672">
        <f t="shared" si="186"/>
        <v>0.18078823987762177</v>
      </c>
    </row>
    <row r="897" spans="1:9" ht="17.100000000000001" customHeight="1">
      <c r="A897" s="1614"/>
      <c r="B897" s="1627"/>
      <c r="C897" s="4919" t="s">
        <v>903</v>
      </c>
      <c r="D897" s="4919"/>
      <c r="E897" s="1923">
        <f>SUM(E898:E904)</f>
        <v>19149409</v>
      </c>
      <c r="F897" s="1923">
        <f>SUM(F898:F904)</f>
        <v>7188990</v>
      </c>
      <c r="G897" s="2118">
        <f>SUM(G898:G904)</f>
        <v>6244901</v>
      </c>
      <c r="H897" s="1925">
        <f>SUM(H898:H904)</f>
        <v>1129004.6600000001</v>
      </c>
      <c r="I897" s="1664">
        <f t="shared" si="186"/>
        <v>0.18078823987762177</v>
      </c>
    </row>
    <row r="898" spans="1:9" ht="17.25" customHeight="1" thickBot="1">
      <c r="A898" s="1644"/>
      <c r="B898" s="1645"/>
      <c r="C898" s="2304" t="s">
        <v>89</v>
      </c>
      <c r="D898" s="2294" t="s">
        <v>795</v>
      </c>
      <c r="E898" s="1678">
        <f>12260034+110000</f>
        <v>12370034</v>
      </c>
      <c r="F898" s="1678">
        <v>530000</v>
      </c>
      <c r="G898" s="2273">
        <v>1097639</v>
      </c>
      <c r="H898" s="1747">
        <v>440558.51</v>
      </c>
      <c r="I898" s="1651">
        <f t="shared" ref="I898:I965" si="190">H898/G898</f>
        <v>0.4013692206636244</v>
      </c>
    </row>
    <row r="899" spans="1:9" ht="17.100000000000001" customHeight="1">
      <c r="A899" s="1614"/>
      <c r="B899" s="1627"/>
      <c r="C899" s="1659" t="s">
        <v>891</v>
      </c>
      <c r="D899" s="1660" t="s">
        <v>795</v>
      </c>
      <c r="E899" s="1661">
        <v>2897119</v>
      </c>
      <c r="F899" s="1661">
        <v>2843641</v>
      </c>
      <c r="G899" s="1881">
        <f>2159192</f>
        <v>2159192</v>
      </c>
      <c r="H899" s="1663">
        <v>73185</v>
      </c>
      <c r="I899" s="1769">
        <f t="shared" si="190"/>
        <v>3.3894623544362894E-2</v>
      </c>
    </row>
    <row r="900" spans="1:9" ht="17.100000000000001" customHeight="1">
      <c r="A900" s="1614"/>
      <c r="B900" s="1627"/>
      <c r="C900" s="2297" t="s">
        <v>892</v>
      </c>
      <c r="D900" s="2282" t="s">
        <v>795</v>
      </c>
      <c r="E900" s="1923">
        <v>514256</v>
      </c>
      <c r="F900" s="1923">
        <v>515349</v>
      </c>
      <c r="G900" s="2216">
        <f>380070</f>
        <v>380070</v>
      </c>
      <c r="H900" s="1925">
        <v>12915</v>
      </c>
      <c r="I900" s="1769">
        <f t="shared" si="190"/>
        <v>3.3980582524271843E-2</v>
      </c>
    </row>
    <row r="901" spans="1:9" ht="17.100000000000001" customHeight="1">
      <c r="A901" s="1614"/>
      <c r="B901" s="1638"/>
      <c r="C901" s="2297" t="s">
        <v>24</v>
      </c>
      <c r="D901" s="2282" t="s">
        <v>842</v>
      </c>
      <c r="E901" s="1923">
        <v>3000000</v>
      </c>
      <c r="F901" s="1923">
        <v>3220000</v>
      </c>
      <c r="G901" s="2216">
        <v>2528000</v>
      </c>
      <c r="H901" s="1925">
        <v>602346.15</v>
      </c>
      <c r="I901" s="1769">
        <f t="shared" si="190"/>
        <v>0.23826983781645569</v>
      </c>
    </row>
    <row r="902" spans="1:9" ht="17.100000000000001" customHeight="1">
      <c r="A902" s="1614"/>
      <c r="B902" s="1638"/>
      <c r="C902" s="2297" t="s">
        <v>905</v>
      </c>
      <c r="D902" s="2282" t="s">
        <v>842</v>
      </c>
      <c r="E902" s="1923">
        <v>272000</v>
      </c>
      <c r="F902" s="1923">
        <v>68000</v>
      </c>
      <c r="G902" s="2216">
        <f>68000</f>
        <v>68000</v>
      </c>
      <c r="H902" s="1925">
        <v>0</v>
      </c>
      <c r="I902" s="1769">
        <f t="shared" si="190"/>
        <v>0</v>
      </c>
    </row>
    <row r="903" spans="1:9" ht="17.100000000000001" customHeight="1">
      <c r="A903" s="1614"/>
      <c r="B903" s="1638"/>
      <c r="C903" s="2240" t="s">
        <v>890</v>
      </c>
      <c r="D903" s="2241" t="s">
        <v>842</v>
      </c>
      <c r="E903" s="2305">
        <v>48000</v>
      </c>
      <c r="F903" s="2305">
        <v>12000</v>
      </c>
      <c r="G903" s="2166">
        <f>12000</f>
        <v>12000</v>
      </c>
      <c r="H903" s="2306">
        <v>0</v>
      </c>
      <c r="I903" s="1725">
        <f t="shared" si="190"/>
        <v>0</v>
      </c>
    </row>
    <row r="904" spans="1:9" ht="55.5" hidden="1" customHeight="1">
      <c r="A904" s="1614"/>
      <c r="B904" s="1638"/>
      <c r="C904" s="2060" t="s">
        <v>906</v>
      </c>
      <c r="D904" s="2279" t="s">
        <v>992</v>
      </c>
      <c r="E904" s="1923">
        <v>48000</v>
      </c>
      <c r="F904" s="1923">
        <v>0</v>
      </c>
      <c r="G904" s="2216">
        <v>0</v>
      </c>
      <c r="H904" s="1925">
        <v>0</v>
      </c>
      <c r="I904" s="2307" t="e">
        <f t="shared" si="190"/>
        <v>#DIV/0!</v>
      </c>
    </row>
    <row r="905" spans="1:9" ht="16.5" customHeight="1">
      <c r="A905" s="1614"/>
      <c r="B905" s="1890"/>
      <c r="C905" s="2288"/>
      <c r="D905" s="2308"/>
      <c r="E905" s="2309"/>
      <c r="F905" s="2309"/>
      <c r="G905" s="2216"/>
      <c r="H905" s="1925"/>
      <c r="I905" s="2307"/>
    </row>
    <row r="906" spans="1:9" ht="30" customHeight="1">
      <c r="A906" s="1614"/>
      <c r="B906" s="1890"/>
      <c r="C906" s="4912" t="s">
        <v>801</v>
      </c>
      <c r="D906" s="4914"/>
      <c r="E906" s="1942">
        <f>SUM(E907:E912)</f>
        <v>3889375</v>
      </c>
      <c r="F906" s="1942">
        <f>SUM(F907:F912)</f>
        <v>3438990</v>
      </c>
      <c r="G906" s="1943">
        <f>SUM(G907:G912)</f>
        <v>2964901</v>
      </c>
      <c r="H906" s="1944">
        <f t="shared" ref="H906" si="191">SUM(H907:H912)</f>
        <v>526658.51</v>
      </c>
      <c r="I906" s="1783">
        <f t="shared" si="190"/>
        <v>0.17763106086847419</v>
      </c>
    </row>
    <row r="907" spans="1:9" ht="17.100000000000001" customHeight="1">
      <c r="A907" s="1638"/>
      <c r="B907" s="1890"/>
      <c r="C907" s="2310" t="s">
        <v>89</v>
      </c>
      <c r="D907" s="2311" t="s">
        <v>795</v>
      </c>
      <c r="E907" s="1661">
        <v>110000</v>
      </c>
      <c r="F907" s="1661">
        <v>0</v>
      </c>
      <c r="G907" s="2312">
        <f>345639</f>
        <v>345639</v>
      </c>
      <c r="H907" s="1925">
        <v>440558.51</v>
      </c>
      <c r="I907" s="1769">
        <f t="shared" si="190"/>
        <v>1.2746203698078054</v>
      </c>
    </row>
    <row r="908" spans="1:9" ht="17.100000000000001" customHeight="1">
      <c r="A908" s="1638"/>
      <c r="B908" s="1890"/>
      <c r="C908" s="1659" t="s">
        <v>891</v>
      </c>
      <c r="D908" s="1660" t="s">
        <v>795</v>
      </c>
      <c r="E908" s="1661">
        <v>2897119</v>
      </c>
      <c r="F908" s="1661">
        <v>2843641</v>
      </c>
      <c r="G908" s="1881">
        <f>2159192</f>
        <v>2159192</v>
      </c>
      <c r="H908" s="1663">
        <v>73185</v>
      </c>
      <c r="I908" s="1769">
        <f t="shared" si="190"/>
        <v>3.3894623544362894E-2</v>
      </c>
    </row>
    <row r="909" spans="1:9" ht="17.100000000000001" customHeight="1">
      <c r="A909" s="1614"/>
      <c r="B909" s="1890"/>
      <c r="C909" s="2297" t="s">
        <v>892</v>
      </c>
      <c r="D909" s="2282" t="s">
        <v>795</v>
      </c>
      <c r="E909" s="1923">
        <v>514256</v>
      </c>
      <c r="F909" s="1923">
        <v>515349</v>
      </c>
      <c r="G909" s="2312">
        <f>380070</f>
        <v>380070</v>
      </c>
      <c r="H909" s="1925">
        <v>12915</v>
      </c>
      <c r="I909" s="1769">
        <f t="shared" si="190"/>
        <v>3.3980582524271843E-2</v>
      </c>
    </row>
    <row r="910" spans="1:9" ht="17.100000000000001" customHeight="1">
      <c r="A910" s="1614"/>
      <c r="B910" s="1890"/>
      <c r="C910" s="2313" t="s">
        <v>905</v>
      </c>
      <c r="D910" s="2314" t="s">
        <v>842</v>
      </c>
      <c r="E910" s="1923">
        <v>272000</v>
      </c>
      <c r="F910" s="1923">
        <v>68000</v>
      </c>
      <c r="G910" s="2312">
        <f>68000</f>
        <v>68000</v>
      </c>
      <c r="H910" s="1925">
        <v>0</v>
      </c>
      <c r="I910" s="1769">
        <f t="shared" si="190"/>
        <v>0</v>
      </c>
    </row>
    <row r="911" spans="1:9" ht="17.100000000000001" customHeight="1" thickBot="1">
      <c r="A911" s="1638"/>
      <c r="B911" s="1890"/>
      <c r="C911" s="2240" t="s">
        <v>890</v>
      </c>
      <c r="D911" s="2241" t="s">
        <v>842</v>
      </c>
      <c r="E911" s="1923">
        <v>48000</v>
      </c>
      <c r="F911" s="1923">
        <v>12000</v>
      </c>
      <c r="G911" s="2312">
        <f>12000</f>
        <v>12000</v>
      </c>
      <c r="H911" s="1925">
        <v>0</v>
      </c>
      <c r="I911" s="1769">
        <f t="shared" si="190"/>
        <v>0</v>
      </c>
    </row>
    <row r="912" spans="1:9" ht="59.25" hidden="1" customHeight="1" thickBot="1">
      <c r="A912" s="1638"/>
      <c r="B912" s="1890"/>
      <c r="C912" s="2240" t="s">
        <v>906</v>
      </c>
      <c r="D912" s="2241" t="s">
        <v>992</v>
      </c>
      <c r="E912" s="2274">
        <v>48000</v>
      </c>
      <c r="F912" s="2274">
        <v>0</v>
      </c>
      <c r="G912" s="2166">
        <v>0</v>
      </c>
      <c r="H912" s="2300">
        <v>0</v>
      </c>
      <c r="I912" s="1725" t="e">
        <f t="shared" si="190"/>
        <v>#DIV/0!</v>
      </c>
    </row>
    <row r="913" spans="1:9" ht="18.75" hidden="1" customHeight="1" thickBot="1">
      <c r="A913" s="1638"/>
      <c r="B913" s="1726" t="s">
        <v>142</v>
      </c>
      <c r="C913" s="1727"/>
      <c r="D913" s="1728" t="s">
        <v>993</v>
      </c>
      <c r="E913" s="1729">
        <f t="shared" ref="E913:H915" si="192">E914</f>
        <v>30000</v>
      </c>
      <c r="F913" s="1729">
        <f t="shared" si="192"/>
        <v>0</v>
      </c>
      <c r="G913" s="1729">
        <f t="shared" si="192"/>
        <v>0</v>
      </c>
      <c r="H913" s="1731">
        <f t="shared" si="192"/>
        <v>0</v>
      </c>
      <c r="I913" s="1732" t="e">
        <f t="shared" si="190"/>
        <v>#DIV/0!</v>
      </c>
    </row>
    <row r="914" spans="1:9" ht="15.75" hidden="1" customHeight="1" thickBot="1">
      <c r="A914" s="1638"/>
      <c r="B914" s="1898"/>
      <c r="C914" s="4871" t="s">
        <v>973</v>
      </c>
      <c r="D914" s="4871"/>
      <c r="E914" s="1615">
        <f t="shared" si="192"/>
        <v>30000</v>
      </c>
      <c r="F914" s="1615">
        <f t="shared" si="192"/>
        <v>0</v>
      </c>
      <c r="G914" s="1615">
        <f t="shared" si="192"/>
        <v>0</v>
      </c>
      <c r="H914" s="1617">
        <f t="shared" si="192"/>
        <v>0</v>
      </c>
      <c r="I914" s="1769" t="e">
        <f t="shared" si="190"/>
        <v>#DIV/0!</v>
      </c>
    </row>
    <row r="915" spans="1:9" ht="15.75" hidden="1" customHeight="1" thickBot="1">
      <c r="A915" s="1638"/>
      <c r="B915" s="1898"/>
      <c r="C915" s="4920" t="s">
        <v>838</v>
      </c>
      <c r="D915" s="4920"/>
      <c r="E915" s="2315">
        <f>E916</f>
        <v>30000</v>
      </c>
      <c r="F915" s="2315">
        <f t="shared" si="192"/>
        <v>0</v>
      </c>
      <c r="G915" s="2315">
        <f t="shared" si="192"/>
        <v>0</v>
      </c>
      <c r="H915" s="2316">
        <f t="shared" si="192"/>
        <v>0</v>
      </c>
      <c r="I915" s="1769" t="e">
        <f t="shared" si="190"/>
        <v>#DIV/0!</v>
      </c>
    </row>
    <row r="916" spans="1:9" ht="42" hidden="1" customHeight="1" thickBot="1">
      <c r="A916" s="1638"/>
      <c r="B916" s="1899"/>
      <c r="C916" s="1900" t="s">
        <v>86</v>
      </c>
      <c r="D916" s="1920" t="s">
        <v>941</v>
      </c>
      <c r="E916" s="1678">
        <v>30000</v>
      </c>
      <c r="F916" s="1678">
        <v>0</v>
      </c>
      <c r="G916" s="2218">
        <v>0</v>
      </c>
      <c r="H916" s="1747">
        <v>0</v>
      </c>
      <c r="I916" s="1651" t="e">
        <f t="shared" si="190"/>
        <v>#DIV/0!</v>
      </c>
    </row>
    <row r="917" spans="1:9" ht="17.100000000000001" customHeight="1" thickBot="1">
      <c r="A917" s="1638"/>
      <c r="B917" s="1726" t="s">
        <v>271</v>
      </c>
      <c r="C917" s="1727"/>
      <c r="D917" s="1728" t="s">
        <v>272</v>
      </c>
      <c r="E917" s="1729">
        <f t="shared" ref="E917:H918" si="193">E918</f>
        <v>20000</v>
      </c>
      <c r="F917" s="1729">
        <f t="shared" si="193"/>
        <v>20000</v>
      </c>
      <c r="G917" s="1730">
        <f t="shared" si="193"/>
        <v>20000</v>
      </c>
      <c r="H917" s="1731">
        <f t="shared" si="193"/>
        <v>12733.05</v>
      </c>
      <c r="I917" s="1732">
        <f t="shared" si="190"/>
        <v>0.63665249999999995</v>
      </c>
    </row>
    <row r="918" spans="1:9" ht="17.100000000000001" customHeight="1">
      <c r="A918" s="1614"/>
      <c r="B918" s="4687"/>
      <c r="C918" s="4871" t="s">
        <v>973</v>
      </c>
      <c r="D918" s="4871"/>
      <c r="E918" s="1615">
        <f t="shared" si="193"/>
        <v>20000</v>
      </c>
      <c r="F918" s="1615">
        <f t="shared" si="193"/>
        <v>20000</v>
      </c>
      <c r="G918" s="1616">
        <f t="shared" si="193"/>
        <v>20000</v>
      </c>
      <c r="H918" s="1617">
        <f t="shared" si="193"/>
        <v>12733.05</v>
      </c>
      <c r="I918" s="1769">
        <f t="shared" si="190"/>
        <v>0.63665249999999995</v>
      </c>
    </row>
    <row r="919" spans="1:9" ht="17.100000000000001" customHeight="1">
      <c r="A919" s="1614"/>
      <c r="B919" s="4687"/>
      <c r="C919" s="4913" t="s">
        <v>761</v>
      </c>
      <c r="D919" s="4913"/>
      <c r="E919" s="1923">
        <f t="shared" ref="E919:H919" si="194">E920+E925</f>
        <v>20000</v>
      </c>
      <c r="F919" s="1923">
        <f t="shared" si="194"/>
        <v>20000</v>
      </c>
      <c r="G919" s="2118">
        <f t="shared" si="194"/>
        <v>20000</v>
      </c>
      <c r="H919" s="1925">
        <f t="shared" si="194"/>
        <v>12733.05</v>
      </c>
      <c r="I919" s="1769">
        <f t="shared" si="190"/>
        <v>0.63665249999999995</v>
      </c>
    </row>
    <row r="920" spans="1:9" ht="17.100000000000001" customHeight="1">
      <c r="A920" s="1614"/>
      <c r="B920" s="4687"/>
      <c r="C920" s="4915" t="s">
        <v>762</v>
      </c>
      <c r="D920" s="4915"/>
      <c r="E920" s="1926">
        <f t="shared" ref="E920:H920" si="195">SUM(E921:E923)</f>
        <v>9000</v>
      </c>
      <c r="F920" s="1926">
        <f t="shared" si="195"/>
        <v>11270</v>
      </c>
      <c r="G920" s="2137">
        <f t="shared" si="195"/>
        <v>11270</v>
      </c>
      <c r="H920" s="1928">
        <f t="shared" si="195"/>
        <v>5741.37</v>
      </c>
      <c r="I920" s="1783">
        <f t="shared" si="190"/>
        <v>0.50943833185448095</v>
      </c>
    </row>
    <row r="921" spans="1:9" ht="17.100000000000001" customHeight="1">
      <c r="A921" s="1614"/>
      <c r="B921" s="4687"/>
      <c r="C921" s="2297" t="s">
        <v>62</v>
      </c>
      <c r="D921" s="2282" t="s">
        <v>765</v>
      </c>
      <c r="E921" s="1923">
        <v>700</v>
      </c>
      <c r="F921" s="1923">
        <v>700</v>
      </c>
      <c r="G921" s="2216">
        <v>1200</v>
      </c>
      <c r="H921" s="1925">
        <v>701.37</v>
      </c>
      <c r="I921" s="1769">
        <f t="shared" si="190"/>
        <v>0.58447499999999997</v>
      </c>
    </row>
    <row r="922" spans="1:9" ht="28.5" customHeight="1">
      <c r="A922" s="1614"/>
      <c r="B922" s="4687"/>
      <c r="C922" s="2297" t="s">
        <v>63</v>
      </c>
      <c r="D922" s="2282" t="s">
        <v>766</v>
      </c>
      <c r="E922" s="1923">
        <v>140</v>
      </c>
      <c r="F922" s="1923">
        <v>140</v>
      </c>
      <c r="G922" s="2216">
        <v>140</v>
      </c>
      <c r="H922" s="1925">
        <v>0</v>
      </c>
      <c r="I922" s="1769">
        <f t="shared" si="190"/>
        <v>0</v>
      </c>
    </row>
    <row r="923" spans="1:9" ht="17.100000000000001" customHeight="1">
      <c r="A923" s="1614"/>
      <c r="B923" s="1627"/>
      <c r="C923" s="2297" t="s">
        <v>324</v>
      </c>
      <c r="D923" s="2282" t="s">
        <v>767</v>
      </c>
      <c r="E923" s="1923">
        <v>8160</v>
      </c>
      <c r="F923" s="1923">
        <v>10430</v>
      </c>
      <c r="G923" s="2216">
        <v>9930</v>
      </c>
      <c r="H923" s="1925">
        <v>5040</v>
      </c>
      <c r="I923" s="1769">
        <f t="shared" si="190"/>
        <v>0.50755287009063443</v>
      </c>
    </row>
    <row r="924" spans="1:9" ht="17.100000000000001" customHeight="1">
      <c r="A924" s="1614"/>
      <c r="B924" s="1627"/>
      <c r="C924" s="1876"/>
      <c r="D924" s="1877"/>
      <c r="E924" s="1878"/>
      <c r="F924" s="1878"/>
      <c r="G924" s="2216"/>
      <c r="H924" s="1925"/>
      <c r="I924" s="1769"/>
    </row>
    <row r="925" spans="1:9" ht="17.100000000000001" customHeight="1">
      <c r="A925" s="1614"/>
      <c r="B925" s="1627"/>
      <c r="C925" s="4912" t="s">
        <v>769</v>
      </c>
      <c r="D925" s="4912"/>
      <c r="E925" s="1942">
        <f t="shared" ref="E925:H925" si="196">SUM(E926:E927)</f>
        <v>11000</v>
      </c>
      <c r="F925" s="1942">
        <f t="shared" si="196"/>
        <v>8730</v>
      </c>
      <c r="G925" s="1943">
        <f t="shared" si="196"/>
        <v>8730</v>
      </c>
      <c r="H925" s="1944">
        <f t="shared" si="196"/>
        <v>6991.68</v>
      </c>
      <c r="I925" s="1783">
        <f t="shared" si="190"/>
        <v>0.80087972508591065</v>
      </c>
    </row>
    <row r="926" spans="1:9" ht="17.100000000000001" customHeight="1">
      <c r="A926" s="1614"/>
      <c r="B926" s="1627"/>
      <c r="C926" s="2240" t="s">
        <v>22</v>
      </c>
      <c r="D926" s="2241" t="s">
        <v>771</v>
      </c>
      <c r="E926" s="2274">
        <v>3500</v>
      </c>
      <c r="F926" s="2274">
        <v>3500</v>
      </c>
      <c r="G926" s="2067">
        <v>3500</v>
      </c>
      <c r="H926" s="1925">
        <v>2419.88</v>
      </c>
      <c r="I926" s="1769">
        <f t="shared" si="190"/>
        <v>0.69139428571428574</v>
      </c>
    </row>
    <row r="927" spans="1:9" ht="17.100000000000001" customHeight="1" thickBot="1">
      <c r="A927" s="4716"/>
      <c r="B927" s="1645"/>
      <c r="C927" s="1900" t="s">
        <v>23</v>
      </c>
      <c r="D927" s="1920" t="s">
        <v>776</v>
      </c>
      <c r="E927" s="1678">
        <v>7500</v>
      </c>
      <c r="F927" s="1678">
        <v>5230</v>
      </c>
      <c r="G927" s="2218">
        <v>5230</v>
      </c>
      <c r="H927" s="1747">
        <v>4571.8</v>
      </c>
      <c r="I927" s="1651">
        <f t="shared" si="190"/>
        <v>0.87414913957934992</v>
      </c>
    </row>
    <row r="928" spans="1:9" ht="19.5" customHeight="1" thickBot="1">
      <c r="A928" s="4716"/>
      <c r="B928" s="1794" t="s">
        <v>144</v>
      </c>
      <c r="C928" s="1795"/>
      <c r="D928" s="1796" t="s">
        <v>362</v>
      </c>
      <c r="E928" s="1797">
        <f>E929+E986</f>
        <v>18621166</v>
      </c>
      <c r="F928" s="1797">
        <f>F929+F986</f>
        <v>29699650</v>
      </c>
      <c r="G928" s="1934">
        <f>G929+G986</f>
        <v>30484833</v>
      </c>
      <c r="H928" s="1935">
        <f>H929+H986</f>
        <v>24689496.589999996</v>
      </c>
      <c r="I928" s="1936">
        <f t="shared" si="190"/>
        <v>0.80989443471774947</v>
      </c>
    </row>
    <row r="929" spans="1:9" ht="17.100000000000001" customHeight="1">
      <c r="A929" s="1614"/>
      <c r="B929" s="1638"/>
      <c r="C929" s="4871" t="s">
        <v>760</v>
      </c>
      <c r="D929" s="4871"/>
      <c r="E929" s="1615">
        <f>E930+E945+E949</f>
        <v>18194626</v>
      </c>
      <c r="F929" s="1615">
        <f>F930+F945+F949</f>
        <v>29252610</v>
      </c>
      <c r="G929" s="1616">
        <f>G930+G945+G949</f>
        <v>29978612</v>
      </c>
      <c r="H929" s="1617">
        <f>H930+H945+H949</f>
        <v>24377101.189999998</v>
      </c>
      <c r="I929" s="1769">
        <f t="shared" si="190"/>
        <v>0.81314976123644411</v>
      </c>
    </row>
    <row r="930" spans="1:9" ht="17.100000000000001" customHeight="1">
      <c r="A930" s="1614"/>
      <c r="B930" s="1638"/>
      <c r="C930" s="4913" t="s">
        <v>761</v>
      </c>
      <c r="D930" s="4913"/>
      <c r="E930" s="1923">
        <f>E931+E934</f>
        <v>14186332</v>
      </c>
      <c r="F930" s="1923">
        <f>F931+F934</f>
        <v>14626299</v>
      </c>
      <c r="G930" s="2118">
        <f>G931+G934</f>
        <v>15369156</v>
      </c>
      <c r="H930" s="1925">
        <f>H931+H934</f>
        <v>11675462.83</v>
      </c>
      <c r="I930" s="1769">
        <f t="shared" si="190"/>
        <v>0.75966844438302272</v>
      </c>
    </row>
    <row r="931" spans="1:9" ht="17.100000000000001" customHeight="1" thickBot="1">
      <c r="A931" s="1644"/>
      <c r="B931" s="2271"/>
      <c r="C931" s="4917" t="s">
        <v>762</v>
      </c>
      <c r="D931" s="4917"/>
      <c r="E931" s="2145">
        <f>SUM(E932:E932)</f>
        <v>28600</v>
      </c>
      <c r="F931" s="2145">
        <f>SUM(F932:F932)</f>
        <v>36253</v>
      </c>
      <c r="G931" s="2145">
        <f>SUM(G932:G932)</f>
        <v>68253</v>
      </c>
      <c r="H931" s="2147">
        <f>SUM(H932:H932)</f>
        <v>54510</v>
      </c>
      <c r="I931" s="2148">
        <f t="shared" si="190"/>
        <v>0.79864621335325925</v>
      </c>
    </row>
    <row r="932" spans="1:9" ht="17.100000000000001" customHeight="1">
      <c r="A932" s="1614"/>
      <c r="B932" s="1638"/>
      <c r="C932" s="1659" t="s">
        <v>324</v>
      </c>
      <c r="D932" s="1660" t="s">
        <v>767</v>
      </c>
      <c r="E932" s="1661">
        <f>15100+10000+3500</f>
        <v>28600</v>
      </c>
      <c r="F932" s="1661">
        <v>36253</v>
      </c>
      <c r="G932" s="1881">
        <v>68253</v>
      </c>
      <c r="H932" s="1663">
        <v>54510</v>
      </c>
      <c r="I932" s="1769">
        <f t="shared" si="190"/>
        <v>0.79864621335325925</v>
      </c>
    </row>
    <row r="933" spans="1:9" ht="17.100000000000001" customHeight="1">
      <c r="A933" s="1614"/>
      <c r="B933" s="1638"/>
      <c r="C933" s="1688"/>
      <c r="D933" s="1688"/>
      <c r="E933" s="1638"/>
      <c r="F933" s="1638"/>
      <c r="G933" s="2216"/>
      <c r="H933" s="1925"/>
      <c r="I933" s="1769"/>
    </row>
    <row r="934" spans="1:9" ht="17.100000000000001" customHeight="1">
      <c r="A934" s="1614"/>
      <c r="B934" s="1638"/>
      <c r="C934" s="4918" t="s">
        <v>769</v>
      </c>
      <c r="D934" s="4916"/>
      <c r="E934" s="1926">
        <f>SUM(E935:E943)</f>
        <v>14157732</v>
      </c>
      <c r="F934" s="1926">
        <f>SUM(F935:F943)</f>
        <v>14590046</v>
      </c>
      <c r="G934" s="2137">
        <f>SUM(G935:G943)</f>
        <v>15300903</v>
      </c>
      <c r="H934" s="1928">
        <f>SUM(H935:H943)</f>
        <v>11620952.83</v>
      </c>
      <c r="I934" s="1783">
        <f t="shared" si="190"/>
        <v>0.75949457558158495</v>
      </c>
    </row>
    <row r="935" spans="1:9" ht="17.100000000000001" customHeight="1">
      <c r="A935" s="1614"/>
      <c r="B935" s="1638"/>
      <c r="C935" s="2286" t="s">
        <v>47</v>
      </c>
      <c r="D935" s="2317" t="s">
        <v>818</v>
      </c>
      <c r="E935" s="1923">
        <f>30000+68426</f>
        <v>98426</v>
      </c>
      <c r="F935" s="1923">
        <v>89848</v>
      </c>
      <c r="G935" s="2216">
        <v>89710</v>
      </c>
      <c r="H935" s="1925">
        <v>73581.89</v>
      </c>
      <c r="I935" s="1769">
        <f t="shared" si="190"/>
        <v>0.82021948500724551</v>
      </c>
    </row>
    <row r="936" spans="1:9" ht="17.100000000000001" customHeight="1">
      <c r="A936" s="1614"/>
      <c r="B936" s="1638"/>
      <c r="C936" s="1659" t="s">
        <v>22</v>
      </c>
      <c r="D936" s="2282" t="s">
        <v>771</v>
      </c>
      <c r="E936" s="1923">
        <f>94000+31000+567750+1000+34200</f>
        <v>727950</v>
      </c>
      <c r="F936" s="1923">
        <v>478273</v>
      </c>
      <c r="G936" s="2216">
        <v>520260</v>
      </c>
      <c r="H936" s="1925">
        <v>454915.9</v>
      </c>
      <c r="I936" s="1769">
        <f t="shared" si="190"/>
        <v>0.87440106869642109</v>
      </c>
    </row>
    <row r="937" spans="1:9" ht="17.100000000000001" customHeight="1">
      <c r="A937" s="1614"/>
      <c r="B937" s="1638"/>
      <c r="C937" s="1659" t="s">
        <v>87</v>
      </c>
      <c r="D937" s="2282" t="s">
        <v>774</v>
      </c>
      <c r="E937" s="1923"/>
      <c r="F937" s="1923">
        <v>15000</v>
      </c>
      <c r="G937" s="2216">
        <v>15000</v>
      </c>
      <c r="H937" s="1925">
        <v>751</v>
      </c>
      <c r="I937" s="1769">
        <f t="shared" si="190"/>
        <v>5.0066666666666669E-2</v>
      </c>
    </row>
    <row r="938" spans="1:9" ht="17.100000000000001" customHeight="1">
      <c r="A938" s="1614"/>
      <c r="B938" s="1638"/>
      <c r="C938" s="2318" t="s">
        <v>23</v>
      </c>
      <c r="D938" s="2319" t="s">
        <v>776</v>
      </c>
      <c r="E938" s="1923">
        <f>417000+45000+10626582+130000+119774</f>
        <v>11338356</v>
      </c>
      <c r="F938" s="1923">
        <v>13806925</v>
      </c>
      <c r="G938" s="2216">
        <f>14472995-62</f>
        <v>14472933</v>
      </c>
      <c r="H938" s="1925">
        <f>10926812.45-61.62</f>
        <v>10926750.83</v>
      </c>
      <c r="I938" s="1769">
        <f t="shared" si="190"/>
        <v>0.75497833300271622</v>
      </c>
    </row>
    <row r="939" spans="1:9" ht="17.100000000000001" customHeight="1">
      <c r="A939" s="1614"/>
      <c r="B939" s="1638"/>
      <c r="C939" s="2318" t="s">
        <v>916</v>
      </c>
      <c r="D939" s="2319" t="s">
        <v>917</v>
      </c>
      <c r="E939" s="1923">
        <f>25000+31000</f>
        <v>56000</v>
      </c>
      <c r="F939" s="1923">
        <v>35000</v>
      </c>
      <c r="G939" s="2216">
        <v>28000</v>
      </c>
      <c r="H939" s="1925">
        <v>9649.1</v>
      </c>
      <c r="I939" s="1769">
        <f t="shared" si="190"/>
        <v>0.34461071428571433</v>
      </c>
    </row>
    <row r="940" spans="1:9" ht="17.100000000000001" customHeight="1">
      <c r="A940" s="1638"/>
      <c r="B940" s="1638"/>
      <c r="C940" s="2320" t="s">
        <v>327</v>
      </c>
      <c r="D940" s="2321" t="s">
        <v>778</v>
      </c>
      <c r="E940" s="1923">
        <v>205000</v>
      </c>
      <c r="F940" s="1923">
        <v>150000</v>
      </c>
      <c r="G940" s="2216">
        <v>150000</v>
      </c>
      <c r="H940" s="1925">
        <v>147088.5</v>
      </c>
      <c r="I940" s="1664">
        <f t="shared" si="190"/>
        <v>0.98058999999999996</v>
      </c>
    </row>
    <row r="941" spans="1:9" ht="17.100000000000001" customHeight="1">
      <c r="A941" s="1638"/>
      <c r="B941" s="1638"/>
      <c r="C941" s="2322" t="s">
        <v>899</v>
      </c>
      <c r="D941" s="2323" t="s">
        <v>900</v>
      </c>
      <c r="E941" s="1661">
        <v>7000</v>
      </c>
      <c r="F941" s="1661">
        <v>15000</v>
      </c>
      <c r="G941" s="1881">
        <f>15055-55</f>
        <v>15000</v>
      </c>
      <c r="H941" s="1663">
        <f>6920.11-54.5</f>
        <v>6865.61</v>
      </c>
      <c r="I941" s="1769">
        <f t="shared" si="190"/>
        <v>0.4577073333333333</v>
      </c>
    </row>
    <row r="942" spans="1:9" ht="17.100000000000001" customHeight="1">
      <c r="A942" s="1614"/>
      <c r="B942" s="1638"/>
      <c r="C942" s="2322" t="s">
        <v>333</v>
      </c>
      <c r="D942" s="1905" t="s">
        <v>782</v>
      </c>
      <c r="E942" s="1661"/>
      <c r="F942" s="1661">
        <v>0</v>
      </c>
      <c r="G942" s="1881">
        <v>10000</v>
      </c>
      <c r="H942" s="1663">
        <v>1350</v>
      </c>
      <c r="I942" s="1769">
        <f t="shared" si="190"/>
        <v>0.13500000000000001</v>
      </c>
    </row>
    <row r="943" spans="1:9" ht="17.100000000000001" hidden="1" customHeight="1">
      <c r="A943" s="1614"/>
      <c r="B943" s="1638"/>
      <c r="C943" s="1959" t="s">
        <v>788</v>
      </c>
      <c r="D943" s="1905" t="s">
        <v>789</v>
      </c>
      <c r="E943" s="1661">
        <v>1725000</v>
      </c>
      <c r="F943" s="1661">
        <v>0</v>
      </c>
      <c r="G943" s="1881">
        <v>0</v>
      </c>
      <c r="H943" s="1663">
        <v>0</v>
      </c>
      <c r="I943" s="1769" t="e">
        <f t="shared" si="190"/>
        <v>#DIV/0!</v>
      </c>
    </row>
    <row r="944" spans="1:9" ht="17.100000000000001" customHeight="1">
      <c r="A944" s="1638"/>
      <c r="B944" s="1638"/>
      <c r="C944" s="2288"/>
      <c r="D944" s="2324"/>
      <c r="E944" s="1951"/>
      <c r="F944" s="1923"/>
      <c r="G944" s="2312"/>
      <c r="H944" s="1925"/>
      <c r="I944" s="2325"/>
    </row>
    <row r="945" spans="1:9" ht="17.100000000000001" customHeight="1">
      <c r="A945" s="1638"/>
      <c r="B945" s="1638"/>
      <c r="C945" s="4874" t="s">
        <v>838</v>
      </c>
      <c r="D945" s="4874"/>
      <c r="E945" s="1661">
        <f>E946+E947</f>
        <v>325097</v>
      </c>
      <c r="F945" s="1661">
        <f>F946+F947</f>
        <v>286200</v>
      </c>
      <c r="G945" s="1760">
        <f>G946+G947</f>
        <v>286200</v>
      </c>
      <c r="H945" s="1663">
        <f t="shared" ref="H945" si="197">H946+H947</f>
        <v>286200</v>
      </c>
      <c r="I945" s="1769">
        <f t="shared" si="190"/>
        <v>1</v>
      </c>
    </row>
    <row r="946" spans="1:9" ht="40.5" customHeight="1">
      <c r="A946" s="1614"/>
      <c r="B946" s="1638"/>
      <c r="C946" s="2326" t="s">
        <v>83</v>
      </c>
      <c r="D946" s="2327" t="s">
        <v>922</v>
      </c>
      <c r="E946" s="1923">
        <v>295097</v>
      </c>
      <c r="F946" s="1923">
        <v>286200</v>
      </c>
      <c r="G946" s="2312">
        <v>286200</v>
      </c>
      <c r="H946" s="1925">
        <v>286200</v>
      </c>
      <c r="I946" s="1769">
        <f t="shared" si="190"/>
        <v>1</v>
      </c>
    </row>
    <row r="947" spans="1:9" ht="41.25" hidden="1" customHeight="1">
      <c r="A947" s="1614"/>
      <c r="B947" s="1638"/>
      <c r="C947" s="2328" t="s">
        <v>86</v>
      </c>
      <c r="D947" s="1905" t="s">
        <v>941</v>
      </c>
      <c r="E947" s="1661">
        <v>30000</v>
      </c>
      <c r="F947" s="1661">
        <v>0</v>
      </c>
      <c r="G947" s="2312">
        <v>0</v>
      </c>
      <c r="H947" s="1925">
        <v>0</v>
      </c>
      <c r="I947" s="1769" t="e">
        <f t="shared" si="190"/>
        <v>#DIV/0!</v>
      </c>
    </row>
    <row r="948" spans="1:9" ht="18" customHeight="1">
      <c r="A948" s="1614"/>
      <c r="B948" s="1638"/>
      <c r="C948" s="1688"/>
      <c r="D948" s="1688"/>
      <c r="E948" s="1638"/>
      <c r="F948" s="1638"/>
      <c r="G948" s="2312"/>
      <c r="H948" s="1925"/>
      <c r="I948" s="1769"/>
    </row>
    <row r="949" spans="1:9" ht="27.75" customHeight="1">
      <c r="A949" s="1614"/>
      <c r="B949" s="1638"/>
      <c r="C949" s="4913" t="s">
        <v>803</v>
      </c>
      <c r="D949" s="4913"/>
      <c r="E949" s="1923">
        <f>SUM(E950:E984)</f>
        <v>3683197</v>
      </c>
      <c r="F949" s="1923">
        <f>SUM(F950:F984)</f>
        <v>14340111</v>
      </c>
      <c r="G949" s="2118">
        <f>SUM(G950:G984)</f>
        <v>14323256</v>
      </c>
      <c r="H949" s="1925">
        <f t="shared" ref="H949" si="198">SUM(H950:H984)</f>
        <v>12415438.359999999</v>
      </c>
      <c r="I949" s="1769">
        <f t="shared" si="190"/>
        <v>0.86680279679424843</v>
      </c>
    </row>
    <row r="950" spans="1:9" ht="68.25" customHeight="1">
      <c r="A950" s="1614"/>
      <c r="B950" s="1638"/>
      <c r="C950" s="2329" t="s">
        <v>524</v>
      </c>
      <c r="D950" s="2330" t="s">
        <v>804</v>
      </c>
      <c r="E950" s="1923">
        <v>0</v>
      </c>
      <c r="F950" s="1923">
        <v>52552</v>
      </c>
      <c r="G950" s="2312">
        <v>52552</v>
      </c>
      <c r="H950" s="1925">
        <v>36180.870000000003</v>
      </c>
      <c r="I950" s="1769">
        <f t="shared" si="190"/>
        <v>0.68847750799208407</v>
      </c>
    </row>
    <row r="951" spans="1:9" ht="39" hidden="1" customHeight="1">
      <c r="A951" s="1614"/>
      <c r="B951" s="1638"/>
      <c r="C951" s="2329" t="s">
        <v>495</v>
      </c>
      <c r="D951" s="2330" t="s">
        <v>857</v>
      </c>
      <c r="E951" s="1923">
        <v>25</v>
      </c>
      <c r="F951" s="1923"/>
      <c r="G951" s="2312"/>
      <c r="H951" s="1925"/>
      <c r="I951" s="1769" t="e">
        <f t="shared" si="190"/>
        <v>#DIV/0!</v>
      </c>
    </row>
    <row r="952" spans="1:9" ht="18" hidden="1" customHeight="1">
      <c r="A952" s="1614"/>
      <c r="B952" s="1638"/>
      <c r="C952" s="2329" t="s">
        <v>675</v>
      </c>
      <c r="D952" s="2330" t="s">
        <v>858</v>
      </c>
      <c r="E952" s="1923"/>
      <c r="F952" s="1923"/>
      <c r="G952" s="2312"/>
      <c r="H952" s="1925"/>
      <c r="I952" s="1769" t="e">
        <f t="shared" si="190"/>
        <v>#DIV/0!</v>
      </c>
    </row>
    <row r="953" spans="1:9" ht="18" customHeight="1">
      <c r="A953" s="1614"/>
      <c r="B953" s="1638"/>
      <c r="C953" s="2331" t="s">
        <v>859</v>
      </c>
      <c r="D953" s="2282" t="s">
        <v>763</v>
      </c>
      <c r="E953" s="1923">
        <v>450000</v>
      </c>
      <c r="F953" s="1923">
        <v>480000</v>
      </c>
      <c r="G953" s="2312">
        <f>479000</f>
        <v>479000</v>
      </c>
      <c r="H953" s="1925">
        <v>413887.32</v>
      </c>
      <c r="I953" s="1769">
        <f t="shared" si="190"/>
        <v>0.86406538622129436</v>
      </c>
    </row>
    <row r="954" spans="1:9" ht="18" customHeight="1">
      <c r="A954" s="1614"/>
      <c r="B954" s="1638"/>
      <c r="C954" s="2332" t="s">
        <v>807</v>
      </c>
      <c r="D954" s="2279" t="s">
        <v>763</v>
      </c>
      <c r="E954" s="1923">
        <v>57383</v>
      </c>
      <c r="F954" s="1923">
        <v>48501</v>
      </c>
      <c r="G954" s="2312">
        <f>13121+1420+28275</f>
        <v>42816</v>
      </c>
      <c r="H954" s="1925">
        <v>25957.96</v>
      </c>
      <c r="I954" s="1769">
        <f t="shared" si="190"/>
        <v>0.60626775037369207</v>
      </c>
    </row>
    <row r="955" spans="1:9" ht="18" customHeight="1">
      <c r="A955" s="1614"/>
      <c r="B955" s="1638"/>
      <c r="C955" s="2333" t="s">
        <v>808</v>
      </c>
      <c r="D955" s="1660" t="s">
        <v>763</v>
      </c>
      <c r="E955" s="2334">
        <v>8889</v>
      </c>
      <c r="F955" s="2334">
        <v>6709</v>
      </c>
      <c r="G955" s="1881">
        <f>2314+158+3141</f>
        <v>5613</v>
      </c>
      <c r="H955" s="2335">
        <v>3740.33</v>
      </c>
      <c r="I955" s="1769">
        <f t="shared" si="190"/>
        <v>0.66636914306075179</v>
      </c>
    </row>
    <row r="956" spans="1:9" ht="18" customHeight="1" thickBot="1">
      <c r="A956" s="1644"/>
      <c r="B956" s="2271"/>
      <c r="C956" s="2336" t="s">
        <v>861</v>
      </c>
      <c r="D956" s="2294" t="s">
        <v>765</v>
      </c>
      <c r="E956" s="2337">
        <v>78210</v>
      </c>
      <c r="F956" s="2337">
        <v>83424</v>
      </c>
      <c r="G956" s="2273">
        <f>83424</f>
        <v>83424</v>
      </c>
      <c r="H956" s="2338">
        <v>68455.14</v>
      </c>
      <c r="I956" s="1651">
        <f t="shared" si="190"/>
        <v>0.82056890103567315</v>
      </c>
    </row>
    <row r="957" spans="1:9" ht="18" customHeight="1">
      <c r="A957" s="1614"/>
      <c r="B957" s="1638"/>
      <c r="C957" s="2333" t="s">
        <v>811</v>
      </c>
      <c r="D957" s="1660" t="s">
        <v>765</v>
      </c>
      <c r="E957" s="1661">
        <v>9974</v>
      </c>
      <c r="F957" s="1661">
        <v>9603</v>
      </c>
      <c r="G957" s="1881">
        <f>3473+254+4909</f>
        <v>8636</v>
      </c>
      <c r="H957" s="1663">
        <v>4530.97</v>
      </c>
      <c r="I957" s="1769">
        <f t="shared" si="190"/>
        <v>0.52466072255673923</v>
      </c>
    </row>
    <row r="958" spans="1:9" ht="18" customHeight="1">
      <c r="A958" s="1614"/>
      <c r="B958" s="1638"/>
      <c r="C958" s="2339" t="s">
        <v>812</v>
      </c>
      <c r="D958" s="2327" t="s">
        <v>765</v>
      </c>
      <c r="E958" s="2340">
        <v>1544</v>
      </c>
      <c r="F958" s="2340">
        <v>1375</v>
      </c>
      <c r="G958" s="2341">
        <f>613+29+546</f>
        <v>1188</v>
      </c>
      <c r="H958" s="2342">
        <v>655.34</v>
      </c>
      <c r="I958" s="1769">
        <f t="shared" si="190"/>
        <v>0.5516329966329967</v>
      </c>
    </row>
    <row r="959" spans="1:9" ht="28.5" customHeight="1">
      <c r="A959" s="1614"/>
      <c r="B959" s="1638"/>
      <c r="C959" s="2343" t="s">
        <v>862</v>
      </c>
      <c r="D959" s="2344" t="s">
        <v>766</v>
      </c>
      <c r="E959" s="2345">
        <v>11025</v>
      </c>
      <c r="F959" s="2345">
        <v>11760</v>
      </c>
      <c r="G959" s="2346">
        <f>11760</f>
        <v>11760</v>
      </c>
      <c r="H959" s="2347">
        <v>9756.5400000000009</v>
      </c>
      <c r="I959" s="1769">
        <f t="shared" si="190"/>
        <v>0.82963775510204085</v>
      </c>
    </row>
    <row r="960" spans="1:9" ht="29.25" customHeight="1">
      <c r="A960" s="1614"/>
      <c r="B960" s="1638"/>
      <c r="C960" s="2348" t="s">
        <v>813</v>
      </c>
      <c r="D960" s="2349" t="s">
        <v>766</v>
      </c>
      <c r="E960" s="2350">
        <v>1406</v>
      </c>
      <c r="F960" s="2350">
        <v>1360</v>
      </c>
      <c r="G960" s="2351">
        <f>495+35+692</f>
        <v>1222</v>
      </c>
      <c r="H960" s="2352">
        <v>482.2</v>
      </c>
      <c r="I960" s="1769">
        <f t="shared" si="190"/>
        <v>0.39459901800327329</v>
      </c>
    </row>
    <row r="961" spans="1:11" ht="27.75" customHeight="1">
      <c r="A961" s="1614"/>
      <c r="B961" s="1638"/>
      <c r="C961" s="2353" t="s">
        <v>814</v>
      </c>
      <c r="D961" s="2354" t="s">
        <v>766</v>
      </c>
      <c r="E961" s="2355">
        <v>218</v>
      </c>
      <c r="F961" s="2355">
        <v>195</v>
      </c>
      <c r="G961" s="2356">
        <f>87+4+77</f>
        <v>168</v>
      </c>
      <c r="H961" s="2357">
        <v>75.22</v>
      </c>
      <c r="I961" s="1769">
        <f t="shared" si="190"/>
        <v>0.44773809523809521</v>
      </c>
    </row>
    <row r="962" spans="1:11" ht="18" customHeight="1">
      <c r="A962" s="1614"/>
      <c r="B962" s="1638"/>
      <c r="C962" s="2358" t="s">
        <v>962</v>
      </c>
      <c r="D962" s="2359" t="s">
        <v>767</v>
      </c>
      <c r="E962" s="2360">
        <v>20000</v>
      </c>
      <c r="F962" s="2360">
        <v>20000</v>
      </c>
      <c r="G962" s="2361">
        <f>20000</f>
        <v>20000</v>
      </c>
      <c r="H962" s="2362">
        <v>0</v>
      </c>
      <c r="I962" s="1769">
        <f t="shared" si="190"/>
        <v>0</v>
      </c>
    </row>
    <row r="963" spans="1:11" ht="18" customHeight="1">
      <c r="A963" s="1614"/>
      <c r="B963" s="1638"/>
      <c r="C963" s="2363" t="s">
        <v>815</v>
      </c>
      <c r="D963" s="2364" t="s">
        <v>767</v>
      </c>
      <c r="E963" s="2365"/>
      <c r="F963" s="2365">
        <v>7087</v>
      </c>
      <c r="G963" s="2366">
        <f>7087</f>
        <v>7087</v>
      </c>
      <c r="H963" s="2367">
        <v>0</v>
      </c>
      <c r="I963" s="1769">
        <f t="shared" si="190"/>
        <v>0</v>
      </c>
    </row>
    <row r="964" spans="1:11" ht="18" customHeight="1">
      <c r="A964" s="1614"/>
      <c r="B964" s="1638"/>
      <c r="C964" s="2368" t="s">
        <v>816</v>
      </c>
      <c r="D964" s="2369" t="s">
        <v>767</v>
      </c>
      <c r="E964" s="2370"/>
      <c r="F964" s="2370">
        <v>1251</v>
      </c>
      <c r="G964" s="2371">
        <f>1251</f>
        <v>1251</v>
      </c>
      <c r="H964" s="2372">
        <v>0</v>
      </c>
      <c r="I964" s="1769">
        <f t="shared" si="190"/>
        <v>0</v>
      </c>
    </row>
    <row r="965" spans="1:11" ht="18" customHeight="1">
      <c r="A965" s="1614"/>
      <c r="B965" s="1638"/>
      <c r="C965" s="2373" t="s">
        <v>863</v>
      </c>
      <c r="D965" s="2374" t="s">
        <v>771</v>
      </c>
      <c r="E965" s="2375">
        <v>140000</v>
      </c>
      <c r="F965" s="2375">
        <v>100000</v>
      </c>
      <c r="G965" s="2376">
        <f>100000</f>
        <v>100000</v>
      </c>
      <c r="H965" s="2377">
        <v>0</v>
      </c>
      <c r="I965" s="1769">
        <f t="shared" si="190"/>
        <v>0</v>
      </c>
    </row>
    <row r="966" spans="1:11" ht="18" customHeight="1">
      <c r="A966" s="1614"/>
      <c r="B966" s="1638"/>
      <c r="C966" s="2378" t="s">
        <v>820</v>
      </c>
      <c r="D966" s="2379" t="s">
        <v>771</v>
      </c>
      <c r="E966" s="2380">
        <v>202669</v>
      </c>
      <c r="F966" s="2380">
        <v>14392</v>
      </c>
      <c r="G966" s="2381">
        <f>3002+3024+4238</f>
        <v>10264</v>
      </c>
      <c r="H966" s="2382">
        <v>6877.17</v>
      </c>
      <c r="I966" s="1769">
        <f t="shared" ref="I966:I1032" si="199">H966/G966</f>
        <v>0.67002825409197198</v>
      </c>
    </row>
    <row r="967" spans="1:11" ht="18" customHeight="1">
      <c r="A967" s="1614"/>
      <c r="B967" s="1638"/>
      <c r="C967" s="2383" t="s">
        <v>821</v>
      </c>
      <c r="D967" s="2384" t="s">
        <v>771</v>
      </c>
      <c r="E967" s="2385">
        <v>35537</v>
      </c>
      <c r="F967" s="2385">
        <v>1908</v>
      </c>
      <c r="G967" s="2386">
        <f>530+336+471</f>
        <v>1337</v>
      </c>
      <c r="H967" s="2387">
        <v>764.13</v>
      </c>
      <c r="I967" s="1769">
        <f t="shared" si="199"/>
        <v>0.57152580403889308</v>
      </c>
    </row>
    <row r="968" spans="1:11" ht="18" customHeight="1">
      <c r="A968" s="1614"/>
      <c r="B968" s="1638"/>
      <c r="C968" s="2388" t="s">
        <v>23</v>
      </c>
      <c r="D968" s="2389" t="s">
        <v>776</v>
      </c>
      <c r="E968" s="2385">
        <f>62+4380</f>
        <v>4442</v>
      </c>
      <c r="F968" s="2385">
        <v>0</v>
      </c>
      <c r="G968" s="2386">
        <v>62</v>
      </c>
      <c r="H968" s="2387">
        <v>61.62</v>
      </c>
      <c r="I968" s="2390">
        <f t="shared" si="199"/>
        <v>0.9938709677419354</v>
      </c>
      <c r="J968" s="1798">
        <f>G968+G938</f>
        <v>14472995</v>
      </c>
      <c r="K968" s="1639">
        <f>H968+H938</f>
        <v>10926812.449999999</v>
      </c>
    </row>
    <row r="969" spans="1:11" ht="18" customHeight="1">
      <c r="A969" s="1614"/>
      <c r="B969" s="1638"/>
      <c r="C969" s="2290" t="s">
        <v>864</v>
      </c>
      <c r="D969" s="2321" t="s">
        <v>776</v>
      </c>
      <c r="E969" s="1661">
        <v>2252765</v>
      </c>
      <c r="F969" s="1661">
        <v>12774816</v>
      </c>
      <c r="G969" s="1881">
        <f>12774816</f>
        <v>12774816</v>
      </c>
      <c r="H969" s="1663">
        <v>11386341.17</v>
      </c>
      <c r="I969" s="1769">
        <f t="shared" si="199"/>
        <v>0.89131155939936824</v>
      </c>
    </row>
    <row r="970" spans="1:11" ht="18" customHeight="1">
      <c r="A970" s="1614"/>
      <c r="B970" s="1638"/>
      <c r="C970" s="2290" t="s">
        <v>824</v>
      </c>
      <c r="D970" s="2391" t="s">
        <v>776</v>
      </c>
      <c r="E970" s="1661">
        <v>136262</v>
      </c>
      <c r="F970" s="1661">
        <v>390025</v>
      </c>
      <c r="G970" s="1662">
        <f>126369+177210+87410</f>
        <v>390989</v>
      </c>
      <c r="H970" s="1663">
        <v>379945.08</v>
      </c>
      <c r="I970" s="1769">
        <f t="shared" si="199"/>
        <v>0.97175388565918741</v>
      </c>
    </row>
    <row r="971" spans="1:11" ht="18" customHeight="1">
      <c r="A971" s="1614"/>
      <c r="B971" s="1638"/>
      <c r="C971" s="2388" t="s">
        <v>825</v>
      </c>
      <c r="D971" s="2392" t="s">
        <v>776</v>
      </c>
      <c r="E971" s="2393">
        <v>18146</v>
      </c>
      <c r="F971" s="2393">
        <v>52194</v>
      </c>
      <c r="G971" s="2394">
        <f>22301+19691+9713</f>
        <v>51705</v>
      </c>
      <c r="H971" s="2395">
        <v>50378.62</v>
      </c>
      <c r="I971" s="1769">
        <f t="shared" si="199"/>
        <v>0.97434716178319314</v>
      </c>
    </row>
    <row r="972" spans="1:11" ht="18" customHeight="1">
      <c r="A972" s="1614"/>
      <c r="B972" s="1638"/>
      <c r="C972" s="2396" t="s">
        <v>963</v>
      </c>
      <c r="D972" s="2397" t="s">
        <v>917</v>
      </c>
      <c r="E972" s="2398">
        <v>120000</v>
      </c>
      <c r="F972" s="2398">
        <v>150000</v>
      </c>
      <c r="G972" s="2399">
        <f>150000</f>
        <v>150000</v>
      </c>
      <c r="H972" s="2400">
        <v>0</v>
      </c>
      <c r="I972" s="1769">
        <f t="shared" si="199"/>
        <v>0</v>
      </c>
    </row>
    <row r="973" spans="1:11" ht="18" customHeight="1">
      <c r="A973" s="1614"/>
      <c r="B973" s="1638"/>
      <c r="C973" s="2401" t="s">
        <v>918</v>
      </c>
      <c r="D973" s="2402" t="s">
        <v>917</v>
      </c>
      <c r="E973" s="2403">
        <v>1985</v>
      </c>
      <c r="F973" s="2403">
        <v>6117</v>
      </c>
      <c r="G973" s="2404">
        <f>3849</f>
        <v>3849</v>
      </c>
      <c r="H973" s="2405">
        <v>0</v>
      </c>
      <c r="I973" s="1769">
        <f t="shared" si="199"/>
        <v>0</v>
      </c>
    </row>
    <row r="974" spans="1:11" ht="18" customHeight="1">
      <c r="A974" s="1614"/>
      <c r="B974" s="1638"/>
      <c r="C974" s="2406" t="s">
        <v>919</v>
      </c>
      <c r="D974" s="2407" t="s">
        <v>917</v>
      </c>
      <c r="E974" s="2408">
        <v>221</v>
      </c>
      <c r="F974" s="2408">
        <v>681</v>
      </c>
      <c r="G974" s="2409">
        <f>428</f>
        <v>428</v>
      </c>
      <c r="H974" s="2410">
        <v>0</v>
      </c>
      <c r="I974" s="1769">
        <f t="shared" si="199"/>
        <v>0</v>
      </c>
    </row>
    <row r="975" spans="1:11" ht="18" customHeight="1">
      <c r="A975" s="1614"/>
      <c r="B975" s="1638"/>
      <c r="C975" s="2411" t="s">
        <v>865</v>
      </c>
      <c r="D975" s="2391" t="s">
        <v>778</v>
      </c>
      <c r="E975" s="2408">
        <v>20000</v>
      </c>
      <c r="F975" s="2408">
        <v>20000</v>
      </c>
      <c r="G975" s="2409">
        <f>20000</f>
        <v>20000</v>
      </c>
      <c r="H975" s="2410">
        <v>0</v>
      </c>
      <c r="I975" s="1769">
        <f t="shared" si="199"/>
        <v>0</v>
      </c>
    </row>
    <row r="976" spans="1:11" ht="18" customHeight="1">
      <c r="A976" s="1614"/>
      <c r="B976" s="1638"/>
      <c r="C976" s="2411" t="s">
        <v>866</v>
      </c>
      <c r="D976" s="2412" t="s">
        <v>781</v>
      </c>
      <c r="E976" s="2413">
        <v>8000</v>
      </c>
      <c r="F976" s="2413">
        <v>5000</v>
      </c>
      <c r="G976" s="2414">
        <f>5000</f>
        <v>5000</v>
      </c>
      <c r="H976" s="2415">
        <v>4426.3999999999996</v>
      </c>
      <c r="I976" s="1769">
        <f t="shared" si="199"/>
        <v>0.88527999999999996</v>
      </c>
    </row>
    <row r="977" spans="1:11" ht="16.5" customHeight="1">
      <c r="A977" s="1614"/>
      <c r="B977" s="1638"/>
      <c r="C977" s="2416" t="s">
        <v>828</v>
      </c>
      <c r="D977" s="2417" t="s">
        <v>781</v>
      </c>
      <c r="E977" s="2418">
        <v>680</v>
      </c>
      <c r="F977" s="2418">
        <v>425</v>
      </c>
      <c r="G977" s="2419">
        <f>425</f>
        <v>425</v>
      </c>
      <c r="H977" s="2420">
        <v>0</v>
      </c>
      <c r="I977" s="1769">
        <f t="shared" si="199"/>
        <v>0</v>
      </c>
    </row>
    <row r="978" spans="1:11" ht="19.5" customHeight="1">
      <c r="A978" s="1614"/>
      <c r="B978" s="1638"/>
      <c r="C978" s="2421" t="s">
        <v>829</v>
      </c>
      <c r="D978" s="2422" t="s">
        <v>781</v>
      </c>
      <c r="E978" s="2423">
        <v>120</v>
      </c>
      <c r="F978" s="2423">
        <v>75</v>
      </c>
      <c r="G978" s="2424">
        <f>75</f>
        <v>75</v>
      </c>
      <c r="H978" s="2425">
        <v>0</v>
      </c>
      <c r="I978" s="1769">
        <f t="shared" si="199"/>
        <v>0</v>
      </c>
    </row>
    <row r="979" spans="1:11" ht="18" customHeight="1">
      <c r="A979" s="1614"/>
      <c r="B979" s="1638"/>
      <c r="C979" s="2426" t="s">
        <v>899</v>
      </c>
      <c r="D979" s="2427" t="s">
        <v>900</v>
      </c>
      <c r="E979" s="2423"/>
      <c r="F979" s="2423">
        <v>0</v>
      </c>
      <c r="G979" s="2424">
        <v>55</v>
      </c>
      <c r="H979" s="2425">
        <v>54.5</v>
      </c>
      <c r="I979" s="1769">
        <f t="shared" si="199"/>
        <v>0.99090909090909096</v>
      </c>
      <c r="J979" s="1798">
        <f>G941+G979</f>
        <v>15055</v>
      </c>
      <c r="K979" s="1639">
        <f>H941+H979</f>
        <v>6920.11</v>
      </c>
    </row>
    <row r="980" spans="1:11" ht="18" customHeight="1">
      <c r="A980" s="1614"/>
      <c r="B980" s="1638"/>
      <c r="C980" s="2428" t="s">
        <v>964</v>
      </c>
      <c r="D980" s="2429" t="s">
        <v>900</v>
      </c>
      <c r="E980" s="2423">
        <v>70000</v>
      </c>
      <c r="F980" s="2423">
        <v>80000</v>
      </c>
      <c r="G980" s="2424">
        <v>80000</v>
      </c>
      <c r="H980" s="2425">
        <v>21976.16</v>
      </c>
      <c r="I980" s="1769">
        <f t="shared" si="199"/>
        <v>0.274702</v>
      </c>
    </row>
    <row r="981" spans="1:11" ht="18" customHeight="1" thickBot="1">
      <c r="A981" s="1644"/>
      <c r="B981" s="2271"/>
      <c r="C981" s="2430" t="s">
        <v>920</v>
      </c>
      <c r="D981" s="2431" t="s">
        <v>900</v>
      </c>
      <c r="E981" s="2337">
        <v>3326</v>
      </c>
      <c r="F981" s="2337">
        <v>4919</v>
      </c>
      <c r="G981" s="2273">
        <f>3004</f>
        <v>3004</v>
      </c>
      <c r="H981" s="2338">
        <v>0</v>
      </c>
      <c r="I981" s="1651">
        <f t="shared" si="199"/>
        <v>0</v>
      </c>
    </row>
    <row r="982" spans="1:11" ht="18" customHeight="1">
      <c r="A982" s="1614"/>
      <c r="B982" s="1638"/>
      <c r="C982" s="2333" t="s">
        <v>921</v>
      </c>
      <c r="D982" s="1905" t="s">
        <v>900</v>
      </c>
      <c r="E982" s="1661">
        <v>370</v>
      </c>
      <c r="F982" s="1661">
        <v>742</v>
      </c>
      <c r="G982" s="1881">
        <f>530</f>
        <v>530</v>
      </c>
      <c r="H982" s="1663">
        <v>0</v>
      </c>
      <c r="I982" s="1769">
        <f t="shared" si="199"/>
        <v>0</v>
      </c>
    </row>
    <row r="983" spans="1:11" ht="18" customHeight="1">
      <c r="A983" s="1614"/>
      <c r="B983" s="1638"/>
      <c r="C983" s="2428" t="s">
        <v>867</v>
      </c>
      <c r="D983" s="2429" t="s">
        <v>994</v>
      </c>
      <c r="E983" s="2432">
        <v>30000</v>
      </c>
      <c r="F983" s="2432">
        <v>15000</v>
      </c>
      <c r="G983" s="2424">
        <v>15000</v>
      </c>
      <c r="H983" s="2284">
        <v>0</v>
      </c>
      <c r="I983" s="1769">
        <f t="shared" si="199"/>
        <v>0</v>
      </c>
    </row>
    <row r="984" spans="1:11" ht="27" customHeight="1">
      <c r="A984" s="1614"/>
      <c r="B984" s="1638"/>
      <c r="C984" s="2428" t="s">
        <v>868</v>
      </c>
      <c r="D984" s="2429" t="s">
        <v>768</v>
      </c>
      <c r="E984" s="2432"/>
      <c r="F984" s="2432">
        <v>0</v>
      </c>
      <c r="G984" s="2424">
        <v>1000</v>
      </c>
      <c r="H984" s="2284">
        <v>891.62</v>
      </c>
      <c r="I984" s="1769">
        <f t="shared" si="199"/>
        <v>0.89161999999999997</v>
      </c>
    </row>
    <row r="985" spans="1:11" ht="18" customHeight="1">
      <c r="A985" s="1614"/>
      <c r="B985" s="1638"/>
      <c r="C985" s="2433"/>
      <c r="D985" s="2434"/>
      <c r="E985" s="2423"/>
      <c r="F985" s="2423"/>
      <c r="G985" s="2424"/>
      <c r="H985" s="2425"/>
      <c r="I985" s="2435"/>
    </row>
    <row r="986" spans="1:11" ht="17.100000000000001" customHeight="1">
      <c r="A986" s="1614"/>
      <c r="B986" s="1638"/>
      <c r="C986" s="4868" t="s">
        <v>793</v>
      </c>
      <c r="D986" s="4868"/>
      <c r="E986" s="2436">
        <f t="shared" ref="E986:H986" si="200">E987</f>
        <v>426540</v>
      </c>
      <c r="F986" s="2436">
        <f t="shared" si="200"/>
        <v>447040</v>
      </c>
      <c r="G986" s="1616">
        <f>G987</f>
        <v>506221</v>
      </c>
      <c r="H986" s="1617">
        <f t="shared" si="200"/>
        <v>312395.40000000002</v>
      </c>
      <c r="I986" s="1780">
        <f t="shared" si="199"/>
        <v>0.61711268398584818</v>
      </c>
    </row>
    <row r="987" spans="1:11" ht="17.100000000000001" customHeight="1">
      <c r="A987" s="1614"/>
      <c r="B987" s="1638"/>
      <c r="C987" s="4908" t="s">
        <v>794</v>
      </c>
      <c r="D987" s="4909"/>
      <c r="E987" s="2437">
        <f>SUM(E988:E992)</f>
        <v>426540</v>
      </c>
      <c r="F987" s="2437">
        <f t="shared" ref="F987:H987" si="201">SUM(F988:F992)</f>
        <v>447040</v>
      </c>
      <c r="G987" s="2438">
        <f>SUM(G988:G992)</f>
        <v>506221</v>
      </c>
      <c r="H987" s="2425">
        <f t="shared" si="201"/>
        <v>312395.40000000002</v>
      </c>
      <c r="I987" s="1769">
        <f t="shared" si="199"/>
        <v>0.61711268398584818</v>
      </c>
    </row>
    <row r="988" spans="1:11" ht="17.100000000000001" customHeight="1">
      <c r="A988" s="1614"/>
      <c r="B988" s="1638"/>
      <c r="C988" s="2297" t="s">
        <v>24</v>
      </c>
      <c r="D988" s="2282" t="s">
        <v>842</v>
      </c>
      <c r="E988" s="2437">
        <v>200000</v>
      </c>
      <c r="F988" s="2437">
        <v>200000</v>
      </c>
      <c r="G988" s="2424">
        <v>200000</v>
      </c>
      <c r="H988" s="2425">
        <v>63406.5</v>
      </c>
      <c r="I988" s="1769">
        <f t="shared" si="199"/>
        <v>0.31703249999999999</v>
      </c>
    </row>
    <row r="989" spans="1:11" ht="17.100000000000001" customHeight="1">
      <c r="A989" s="1614"/>
      <c r="B989" s="1627"/>
      <c r="C989" s="2297" t="s">
        <v>869</v>
      </c>
      <c r="D989" s="2282" t="s">
        <v>842</v>
      </c>
      <c r="E989" s="2437">
        <v>226540</v>
      </c>
      <c r="F989" s="2437">
        <v>247040</v>
      </c>
      <c r="G989" s="2424">
        <v>306221</v>
      </c>
      <c r="H989" s="2425">
        <v>248988.9</v>
      </c>
      <c r="I989" s="1769">
        <f t="shared" si="199"/>
        <v>0.81310197537072892</v>
      </c>
    </row>
    <row r="990" spans="1:11" ht="17.100000000000001" hidden="1" customHeight="1">
      <c r="A990" s="1614"/>
      <c r="B990" s="1627"/>
      <c r="C990" s="2297" t="s">
        <v>905</v>
      </c>
      <c r="D990" s="2282" t="s">
        <v>842</v>
      </c>
      <c r="E990" s="2437"/>
      <c r="F990" s="2437">
        <v>0</v>
      </c>
      <c r="G990" s="2424"/>
      <c r="H990" s="2425"/>
      <c r="I990" s="1769" t="e">
        <f t="shared" si="199"/>
        <v>#DIV/0!</v>
      </c>
    </row>
    <row r="991" spans="1:11" ht="17.100000000000001" hidden="1" customHeight="1">
      <c r="A991" s="1614"/>
      <c r="B991" s="1627"/>
      <c r="C991" s="2297" t="s">
        <v>890</v>
      </c>
      <c r="D991" s="2282" t="s">
        <v>842</v>
      </c>
      <c r="E991" s="2437"/>
      <c r="F991" s="2437">
        <v>0</v>
      </c>
      <c r="G991" s="2424"/>
      <c r="H991" s="2425"/>
      <c r="I991" s="1769" t="e">
        <f t="shared" si="199"/>
        <v>#DIV/0!</v>
      </c>
    </row>
    <row r="992" spans="1:11" ht="27" hidden="1" customHeight="1">
      <c r="A992" s="1614"/>
      <c r="B992" s="1627"/>
      <c r="C992" s="2297" t="s">
        <v>878</v>
      </c>
      <c r="D992" s="2282" t="s">
        <v>967</v>
      </c>
      <c r="E992" s="2437"/>
      <c r="F992" s="2437">
        <v>0</v>
      </c>
      <c r="G992" s="2424"/>
      <c r="H992" s="2425"/>
      <c r="I992" s="1769" t="e">
        <f t="shared" si="199"/>
        <v>#DIV/0!</v>
      </c>
    </row>
    <row r="993" spans="1:9" ht="17.100000000000001" customHeight="1">
      <c r="A993" s="1638"/>
      <c r="B993" s="1638"/>
      <c r="C993" s="2439"/>
      <c r="D993" s="2440"/>
      <c r="E993" s="2437"/>
      <c r="F993" s="2437"/>
      <c r="G993" s="2424"/>
      <c r="H993" s="2425"/>
      <c r="I993" s="1769"/>
    </row>
    <row r="994" spans="1:9" ht="25.5" customHeight="1">
      <c r="A994" s="1638"/>
      <c r="B994" s="1638"/>
      <c r="C994" s="4912" t="s">
        <v>801</v>
      </c>
      <c r="D994" s="4914"/>
      <c r="E994" s="1942">
        <f>SUM(E995:E998)</f>
        <v>226540</v>
      </c>
      <c r="F994" s="1942">
        <f t="shared" ref="F994:H994" si="202">SUM(F995:F998)</f>
        <v>247040</v>
      </c>
      <c r="G994" s="1943">
        <f t="shared" si="202"/>
        <v>306221</v>
      </c>
      <c r="H994" s="1944">
        <f t="shared" si="202"/>
        <v>248988.9</v>
      </c>
      <c r="I994" s="1783">
        <f t="shared" si="199"/>
        <v>0.81310197537072892</v>
      </c>
    </row>
    <row r="995" spans="1:9" ht="17.100000000000001" customHeight="1" thickBot="1">
      <c r="A995" s="1638"/>
      <c r="B995" s="1645"/>
      <c r="C995" s="2304" t="s">
        <v>869</v>
      </c>
      <c r="D995" s="2294" t="s">
        <v>795</v>
      </c>
      <c r="E995" s="1678">
        <v>226540</v>
      </c>
      <c r="F995" s="1678">
        <v>247040</v>
      </c>
      <c r="G995" s="2273">
        <v>306221</v>
      </c>
      <c r="H995" s="2338">
        <v>248988.9</v>
      </c>
      <c r="I995" s="1651">
        <f t="shared" si="199"/>
        <v>0.81310197537072892</v>
      </c>
    </row>
    <row r="996" spans="1:9" ht="17.25" hidden="1" customHeight="1">
      <c r="A996" s="1638"/>
      <c r="B996" s="1627"/>
      <c r="C996" s="1659" t="s">
        <v>905</v>
      </c>
      <c r="D996" s="1660" t="s">
        <v>842</v>
      </c>
      <c r="E996" s="2254"/>
      <c r="F996" s="2254">
        <v>0</v>
      </c>
      <c r="G996" s="1881">
        <v>0</v>
      </c>
      <c r="H996" s="1663">
        <v>0</v>
      </c>
      <c r="I996" s="1769" t="e">
        <f t="shared" si="199"/>
        <v>#DIV/0!</v>
      </c>
    </row>
    <row r="997" spans="1:9" ht="17.100000000000001" hidden="1" customHeight="1">
      <c r="A997" s="1638"/>
      <c r="B997" s="1627"/>
      <c r="C997" s="2240" t="s">
        <v>890</v>
      </c>
      <c r="D997" s="2241" t="s">
        <v>842</v>
      </c>
      <c r="E997" s="2277"/>
      <c r="F997" s="2277">
        <v>0</v>
      </c>
      <c r="G997" s="2067">
        <v>0</v>
      </c>
      <c r="H997" s="1925">
        <v>0</v>
      </c>
      <c r="I997" s="1769" t="e">
        <f t="shared" si="199"/>
        <v>#DIV/0!</v>
      </c>
    </row>
    <row r="998" spans="1:9" ht="27.75" hidden="1" customHeight="1" thickBot="1">
      <c r="A998" s="1638"/>
      <c r="B998" s="1627"/>
      <c r="C998" s="2293" t="s">
        <v>878</v>
      </c>
      <c r="D998" s="2441" t="s">
        <v>967</v>
      </c>
      <c r="E998" s="2017"/>
      <c r="F998" s="2017">
        <v>0</v>
      </c>
      <c r="G998" s="2424">
        <v>0</v>
      </c>
      <c r="H998" s="2425">
        <v>0</v>
      </c>
      <c r="I998" s="1769" t="e">
        <f t="shared" si="199"/>
        <v>#DIV/0!</v>
      </c>
    </row>
    <row r="999" spans="1:9" ht="17.100000000000001" customHeight="1" thickBot="1">
      <c r="A999" s="1638"/>
      <c r="B999" s="1726" t="s">
        <v>995</v>
      </c>
      <c r="C999" s="1727"/>
      <c r="D999" s="1728" t="s">
        <v>530</v>
      </c>
      <c r="E999" s="2442">
        <f>E1000+E1011</f>
        <v>343148</v>
      </c>
      <c r="F999" s="2442">
        <f t="shared" ref="F999:H999" si="203">F1000+F1011</f>
        <v>0</v>
      </c>
      <c r="G999" s="2442">
        <f t="shared" si="203"/>
        <v>273100</v>
      </c>
      <c r="H999" s="2443">
        <f t="shared" si="203"/>
        <v>195967.5</v>
      </c>
      <c r="I999" s="2444">
        <f t="shared" si="199"/>
        <v>0.71756682533870375</v>
      </c>
    </row>
    <row r="1000" spans="1:9" ht="17.100000000000001" customHeight="1">
      <c r="A1000" s="1614"/>
      <c r="B1000" s="4687"/>
      <c r="C1000" s="4871" t="s">
        <v>760</v>
      </c>
      <c r="D1000" s="4871"/>
      <c r="E1000" s="2258">
        <f>E1001</f>
        <v>239148</v>
      </c>
      <c r="F1000" s="2258">
        <f t="shared" ref="F1000:H1000" si="204">F1001</f>
        <v>0</v>
      </c>
      <c r="G1000" s="2258">
        <f t="shared" si="204"/>
        <v>188000</v>
      </c>
      <c r="H1000" s="2445">
        <f t="shared" si="204"/>
        <v>123360.6</v>
      </c>
      <c r="I1000" s="1769">
        <f t="shared" si="199"/>
        <v>0.65617340425531923</v>
      </c>
    </row>
    <row r="1001" spans="1:9" ht="17.100000000000001" customHeight="1">
      <c r="A1001" s="1614"/>
      <c r="B1001" s="4687"/>
      <c r="C1001" s="4913" t="s">
        <v>761</v>
      </c>
      <c r="D1001" s="4913"/>
      <c r="E1001" s="2277">
        <f>E1002+E1005</f>
        <v>239148</v>
      </c>
      <c r="F1001" s="2277">
        <f t="shared" ref="F1001:H1001" si="205">F1002+F1005</f>
        <v>0</v>
      </c>
      <c r="G1001" s="2277">
        <f t="shared" si="205"/>
        <v>188000</v>
      </c>
      <c r="H1001" s="2446">
        <f t="shared" si="205"/>
        <v>123360.6</v>
      </c>
      <c r="I1001" s="1769">
        <f t="shared" si="199"/>
        <v>0.65617340425531923</v>
      </c>
    </row>
    <row r="1002" spans="1:9" ht="17.100000000000001" customHeight="1">
      <c r="A1002" s="1614"/>
      <c r="B1002" s="4687"/>
      <c r="C1002" s="4915" t="s">
        <v>762</v>
      </c>
      <c r="D1002" s="4915"/>
      <c r="E1002" s="2277">
        <f>E1003</f>
        <v>28040</v>
      </c>
      <c r="F1002" s="2277">
        <f t="shared" ref="F1002:H1002" si="206">F1003</f>
        <v>0</v>
      </c>
      <c r="G1002" s="2277">
        <f t="shared" si="206"/>
        <v>12000</v>
      </c>
      <c r="H1002" s="2446">
        <f t="shared" si="206"/>
        <v>6505</v>
      </c>
      <c r="I1002" s="1769">
        <f t="shared" si="199"/>
        <v>0.54208333333333336</v>
      </c>
    </row>
    <row r="1003" spans="1:9" ht="17.100000000000001" customHeight="1">
      <c r="A1003" s="1614"/>
      <c r="B1003" s="4687"/>
      <c r="C1003" s="2297" t="s">
        <v>324</v>
      </c>
      <c r="D1003" s="2282" t="s">
        <v>767</v>
      </c>
      <c r="E1003" s="2277">
        <v>28040</v>
      </c>
      <c r="F1003" s="2277">
        <v>0</v>
      </c>
      <c r="G1003" s="2067">
        <v>12000</v>
      </c>
      <c r="H1003" s="1925">
        <v>6505</v>
      </c>
      <c r="I1003" s="1769">
        <f t="shared" si="199"/>
        <v>0.54208333333333336</v>
      </c>
    </row>
    <row r="1004" spans="1:9" ht="17.100000000000001" customHeight="1">
      <c r="A1004" s="1614"/>
      <c r="B1004" s="4687"/>
      <c r="C1004" s="2330"/>
      <c r="D1004" s="2330"/>
      <c r="E1004" s="2437"/>
      <c r="F1004" s="2437"/>
      <c r="G1004" s="2424"/>
      <c r="H1004" s="2425"/>
      <c r="I1004" s="1769"/>
    </row>
    <row r="1005" spans="1:9" ht="17.100000000000001" customHeight="1">
      <c r="A1005" s="1614"/>
      <c r="B1005" s="4687"/>
      <c r="C1005" s="4916" t="s">
        <v>769</v>
      </c>
      <c r="D1005" s="4916"/>
      <c r="E1005" s="2277">
        <f>SUM(E1006:E1009)</f>
        <v>211108</v>
      </c>
      <c r="F1005" s="2277">
        <f>SUM(F1006:F1009)</f>
        <v>0</v>
      </c>
      <c r="G1005" s="2277">
        <f t="shared" ref="G1005:H1005" si="207">SUM(G1006:G1009)</f>
        <v>176000</v>
      </c>
      <c r="H1005" s="2446">
        <f t="shared" si="207"/>
        <v>116855.6</v>
      </c>
      <c r="I1005" s="1769">
        <f t="shared" si="199"/>
        <v>0.66395227272727275</v>
      </c>
    </row>
    <row r="1006" spans="1:9" ht="17.100000000000001" hidden="1" customHeight="1">
      <c r="A1006" s="1614"/>
      <c r="B1006" s="4687"/>
      <c r="C1006" s="2297" t="s">
        <v>22</v>
      </c>
      <c r="D1006" s="2282" t="s">
        <v>771</v>
      </c>
      <c r="E1006" s="2277">
        <v>112008</v>
      </c>
      <c r="F1006" s="2277">
        <v>0</v>
      </c>
      <c r="G1006" s="2067">
        <v>0</v>
      </c>
      <c r="H1006" s="1925">
        <v>0</v>
      </c>
      <c r="I1006" s="1769" t="e">
        <f t="shared" si="199"/>
        <v>#DIV/0!</v>
      </c>
    </row>
    <row r="1007" spans="1:9" ht="17.100000000000001" customHeight="1">
      <c r="A1007" s="1614"/>
      <c r="B1007" s="4687"/>
      <c r="C1007" s="2297" t="s">
        <v>23</v>
      </c>
      <c r="D1007" s="2282" t="s">
        <v>776</v>
      </c>
      <c r="E1007" s="2277">
        <v>93450</v>
      </c>
      <c r="F1007" s="2277">
        <v>0</v>
      </c>
      <c r="G1007" s="2067">
        <v>175600</v>
      </c>
      <c r="H1007" s="1925">
        <v>116681</v>
      </c>
      <c r="I1007" s="1769">
        <f t="shared" si="199"/>
        <v>0.66447038724373575</v>
      </c>
    </row>
    <row r="1008" spans="1:9" ht="17.100000000000001" hidden="1" customHeight="1">
      <c r="A1008" s="1614"/>
      <c r="B1008" s="4687"/>
      <c r="C1008" s="2240" t="s">
        <v>333</v>
      </c>
      <c r="D1008" s="2241" t="s">
        <v>782</v>
      </c>
      <c r="E1008" s="2277">
        <v>4150</v>
      </c>
      <c r="F1008" s="2277">
        <v>0</v>
      </c>
      <c r="G1008" s="2067">
        <v>0</v>
      </c>
      <c r="H1008" s="1925">
        <v>0</v>
      </c>
      <c r="I1008" s="1769" t="e">
        <f t="shared" si="199"/>
        <v>#DIV/0!</v>
      </c>
    </row>
    <row r="1009" spans="1:9" ht="17.100000000000001" customHeight="1">
      <c r="A1009" s="1614"/>
      <c r="B1009" s="4687"/>
      <c r="C1009" s="2332" t="s">
        <v>996</v>
      </c>
      <c r="D1009" s="2447" t="s">
        <v>997</v>
      </c>
      <c r="E1009" s="2277">
        <v>1500</v>
      </c>
      <c r="F1009" s="2277">
        <v>0</v>
      </c>
      <c r="G1009" s="2067">
        <v>400</v>
      </c>
      <c r="H1009" s="1925">
        <v>174.6</v>
      </c>
      <c r="I1009" s="1769">
        <f t="shared" si="199"/>
        <v>0.4365</v>
      </c>
    </row>
    <row r="1010" spans="1:9" ht="17.100000000000001" customHeight="1">
      <c r="A1010" s="1614"/>
      <c r="B1010" s="1684"/>
      <c r="C1010" s="2000"/>
      <c r="D1010" s="2122"/>
      <c r="E1010" s="2277"/>
      <c r="F1010" s="2277"/>
      <c r="G1010" s="2067"/>
      <c r="H1010" s="1925"/>
      <c r="I1010" s="1769"/>
    </row>
    <row r="1011" spans="1:9" ht="17.100000000000001" customHeight="1">
      <c r="A1011" s="1614"/>
      <c r="B1011" s="1684"/>
      <c r="C1011" s="4907" t="s">
        <v>793</v>
      </c>
      <c r="D1011" s="4907"/>
      <c r="E1011" s="2437">
        <f>E1012</f>
        <v>104000</v>
      </c>
      <c r="F1011" s="2448">
        <f t="shared" ref="F1011:H1012" si="208">F1012</f>
        <v>0</v>
      </c>
      <c r="G1011" s="2448">
        <f t="shared" si="208"/>
        <v>85100</v>
      </c>
      <c r="H1011" s="2449">
        <f t="shared" si="208"/>
        <v>72606.899999999994</v>
      </c>
      <c r="I1011" s="1780">
        <f t="shared" si="199"/>
        <v>0.85319506462984718</v>
      </c>
    </row>
    <row r="1012" spans="1:9" ht="17.100000000000001" customHeight="1">
      <c r="A1012" s="1614"/>
      <c r="B1012" s="1684"/>
      <c r="C1012" s="4908" t="s">
        <v>794</v>
      </c>
      <c r="D1012" s="4909"/>
      <c r="E1012" s="2450">
        <f>E1013</f>
        <v>104000</v>
      </c>
      <c r="F1012" s="2450">
        <f t="shared" si="208"/>
        <v>0</v>
      </c>
      <c r="G1012" s="2450">
        <f t="shared" si="208"/>
        <v>85100</v>
      </c>
      <c r="H1012" s="2451">
        <f t="shared" si="208"/>
        <v>72606.899999999994</v>
      </c>
      <c r="I1012" s="1769">
        <f t="shared" si="199"/>
        <v>0.85319506462984718</v>
      </c>
    </row>
    <row r="1013" spans="1:9" ht="17.100000000000001" customHeight="1" thickBot="1">
      <c r="A1013" s="1638"/>
      <c r="B1013" s="1684"/>
      <c r="C1013" s="2452" t="s">
        <v>24</v>
      </c>
      <c r="D1013" s="2453" t="s">
        <v>842</v>
      </c>
      <c r="E1013" s="2454">
        <v>104000</v>
      </c>
      <c r="F1013" s="2454">
        <v>0</v>
      </c>
      <c r="G1013" s="2166">
        <v>85100</v>
      </c>
      <c r="H1013" s="2455">
        <v>72606.899999999994</v>
      </c>
      <c r="I1013" s="1725">
        <f t="shared" si="199"/>
        <v>0.85319506462984718</v>
      </c>
    </row>
    <row r="1014" spans="1:9" ht="18" customHeight="1" thickBot="1">
      <c r="A1014" s="1638"/>
      <c r="B1014" s="1726" t="s">
        <v>273</v>
      </c>
      <c r="C1014" s="1727"/>
      <c r="D1014" s="1728" t="s">
        <v>274</v>
      </c>
      <c r="E1014" s="2456">
        <f>E1015</f>
        <v>201000</v>
      </c>
      <c r="F1014" s="2456">
        <f t="shared" ref="F1014:H1014" si="209">F1015</f>
        <v>216000</v>
      </c>
      <c r="G1014" s="1730">
        <f t="shared" si="209"/>
        <v>216000</v>
      </c>
      <c r="H1014" s="1731">
        <f t="shared" si="209"/>
        <v>215995.58000000002</v>
      </c>
      <c r="I1014" s="1732">
        <f t="shared" si="199"/>
        <v>0.99997953703703713</v>
      </c>
    </row>
    <row r="1015" spans="1:9" ht="15.75" customHeight="1">
      <c r="A1015" s="1614"/>
      <c r="B1015" s="1922"/>
      <c r="C1015" s="4823" t="s">
        <v>760</v>
      </c>
      <c r="D1015" s="4823"/>
      <c r="E1015" s="2457">
        <f>SUM(E1016+E1031)</f>
        <v>201000</v>
      </c>
      <c r="F1015" s="2457">
        <f>SUM(F1016+F1031)</f>
        <v>216000</v>
      </c>
      <c r="G1015" s="2458">
        <f t="shared" ref="G1015:H1015" si="210">SUM(G1016+G1031)</f>
        <v>216000</v>
      </c>
      <c r="H1015" s="1736">
        <f t="shared" si="210"/>
        <v>215995.58000000002</v>
      </c>
      <c r="I1015" s="1664">
        <f t="shared" si="199"/>
        <v>0.99997953703703713</v>
      </c>
    </row>
    <row r="1016" spans="1:9" ht="16.5" customHeight="1">
      <c r="A1016" s="1614"/>
      <c r="B1016" s="1779"/>
      <c r="C1016" s="4910" t="s">
        <v>761</v>
      </c>
      <c r="D1016" s="4910"/>
      <c r="E1016" s="2459">
        <f t="shared" ref="E1016:H1016" si="211">SUM(E1017,E1023)</f>
        <v>194000</v>
      </c>
      <c r="F1016" s="2459">
        <f t="shared" si="211"/>
        <v>209000</v>
      </c>
      <c r="G1016" s="2460">
        <f t="shared" si="211"/>
        <v>213568</v>
      </c>
      <c r="H1016" s="2461">
        <f t="shared" si="211"/>
        <v>213563.80000000002</v>
      </c>
      <c r="I1016" s="1664">
        <f t="shared" si="199"/>
        <v>0.99998033413245435</v>
      </c>
    </row>
    <row r="1017" spans="1:9" ht="16.5" customHeight="1" thickBot="1">
      <c r="A1017" s="1644"/>
      <c r="B1017" s="1791"/>
      <c r="C1017" s="4911" t="s">
        <v>762</v>
      </c>
      <c r="D1017" s="4911"/>
      <c r="E1017" s="2462">
        <f t="shared" ref="E1017:F1017" si="212">SUM(E1018:E1021)</f>
        <v>128000</v>
      </c>
      <c r="F1017" s="2462">
        <f t="shared" si="212"/>
        <v>160000</v>
      </c>
      <c r="G1017" s="2463">
        <f t="shared" ref="G1017:H1017" si="213">SUM(G1018:G1021)</f>
        <v>184121</v>
      </c>
      <c r="H1017" s="2464">
        <f t="shared" si="213"/>
        <v>184118.82</v>
      </c>
      <c r="I1017" s="2148">
        <f t="shared" si="199"/>
        <v>0.99998815996002632</v>
      </c>
    </row>
    <row r="1018" spans="1:9" ht="16.5" customHeight="1">
      <c r="A1018" s="1614"/>
      <c r="B1018" s="1779"/>
      <c r="C1018" s="1659" t="s">
        <v>61</v>
      </c>
      <c r="D1018" s="1660" t="s">
        <v>763</v>
      </c>
      <c r="E1018" s="1661">
        <v>104314</v>
      </c>
      <c r="F1018" s="1661">
        <v>132063</v>
      </c>
      <c r="G1018" s="2264">
        <v>155853</v>
      </c>
      <c r="H1018" s="1663">
        <v>155852.41</v>
      </c>
      <c r="I1018" s="1664">
        <f t="shared" si="199"/>
        <v>0.99999621438150055</v>
      </c>
    </row>
    <row r="1019" spans="1:9" ht="18" customHeight="1">
      <c r="A1019" s="1614"/>
      <c r="B1019" s="1779"/>
      <c r="C1019" s="2465" t="s">
        <v>62</v>
      </c>
      <c r="D1019" s="2466" t="s">
        <v>765</v>
      </c>
      <c r="E1019" s="2467">
        <v>18130</v>
      </c>
      <c r="F1019" s="2467">
        <v>22701</v>
      </c>
      <c r="G1019" s="2468">
        <v>25811</v>
      </c>
      <c r="H1019" s="2461">
        <v>25810.240000000002</v>
      </c>
      <c r="I1019" s="1769">
        <f t="shared" si="199"/>
        <v>0.99997055518964784</v>
      </c>
    </row>
    <row r="1020" spans="1:9" ht="17.25" customHeight="1">
      <c r="A1020" s="1614"/>
      <c r="B1020" s="1779"/>
      <c r="C1020" s="2465" t="s">
        <v>63</v>
      </c>
      <c r="D1020" s="2466" t="s">
        <v>798</v>
      </c>
      <c r="E1020" s="2467">
        <v>2556</v>
      </c>
      <c r="F1020" s="2467">
        <v>3236</v>
      </c>
      <c r="G1020" s="2468">
        <v>2457</v>
      </c>
      <c r="H1020" s="2461">
        <v>2456.17</v>
      </c>
      <c r="I1020" s="1769">
        <f t="shared" si="199"/>
        <v>0.99966218966218967</v>
      </c>
    </row>
    <row r="1021" spans="1:9" ht="17.25" customHeight="1">
      <c r="A1021" s="1614"/>
      <c r="B1021" s="1779"/>
      <c r="C1021" s="2465" t="s">
        <v>324</v>
      </c>
      <c r="D1021" s="2466" t="s">
        <v>767</v>
      </c>
      <c r="E1021" s="2467">
        <v>3000</v>
      </c>
      <c r="F1021" s="2467">
        <v>2000</v>
      </c>
      <c r="G1021" s="2468">
        <v>0</v>
      </c>
      <c r="H1021" s="2461">
        <v>0</v>
      </c>
      <c r="I1021" s="1769"/>
    </row>
    <row r="1022" spans="1:9">
      <c r="A1022" s="1614"/>
      <c r="B1022" s="1779"/>
      <c r="C1022" s="2469"/>
      <c r="D1022" s="2469"/>
      <c r="E1022" s="2459"/>
      <c r="F1022" s="2459"/>
      <c r="G1022" s="2468"/>
      <c r="H1022" s="2461"/>
      <c r="I1022" s="1769"/>
    </row>
    <row r="1023" spans="1:9" ht="16.5" customHeight="1">
      <c r="A1023" s="1614"/>
      <c r="B1023" s="1779"/>
      <c r="C1023" s="4912" t="s">
        <v>769</v>
      </c>
      <c r="D1023" s="4912"/>
      <c r="E1023" s="2470">
        <f>SUM(E1024:E1029)</f>
        <v>66000</v>
      </c>
      <c r="F1023" s="2470">
        <f>SUM(F1024:F1029)</f>
        <v>49000</v>
      </c>
      <c r="G1023" s="1943">
        <f t="shared" ref="G1023:H1023" si="214">SUM(G1024:G1029)</f>
        <v>29447</v>
      </c>
      <c r="H1023" s="1944">
        <f t="shared" si="214"/>
        <v>29444.98</v>
      </c>
      <c r="I1023" s="1783">
        <f t="shared" si="199"/>
        <v>0.99993140218018817</v>
      </c>
    </row>
    <row r="1024" spans="1:9" ht="17.25" customHeight="1">
      <c r="A1024" s="1614"/>
      <c r="B1024" s="1779"/>
      <c r="C1024" s="2465" t="s">
        <v>22</v>
      </c>
      <c r="D1024" s="2466" t="s">
        <v>771</v>
      </c>
      <c r="E1024" s="2459">
        <v>47000</v>
      </c>
      <c r="F1024" s="2459">
        <v>22000</v>
      </c>
      <c r="G1024" s="2468">
        <v>18642</v>
      </c>
      <c r="H1024" s="2461">
        <v>18641.27</v>
      </c>
      <c r="I1024" s="1769">
        <f t="shared" si="199"/>
        <v>0.99996084111146877</v>
      </c>
    </row>
    <row r="1025" spans="1:9" ht="17.25" customHeight="1">
      <c r="A1025" s="1614"/>
      <c r="B1025" s="1779"/>
      <c r="C1025" s="2465" t="s">
        <v>326</v>
      </c>
      <c r="D1025" s="2466" t="s">
        <v>772</v>
      </c>
      <c r="E1025" s="2459">
        <v>1000</v>
      </c>
      <c r="F1025" s="2459">
        <v>1000</v>
      </c>
      <c r="G1025" s="2468">
        <v>399</v>
      </c>
      <c r="H1025" s="2461">
        <v>398.29</v>
      </c>
      <c r="I1025" s="1769">
        <f t="shared" si="199"/>
        <v>0.99822055137844612</v>
      </c>
    </row>
    <row r="1026" spans="1:9" ht="16.5" customHeight="1">
      <c r="A1026" s="1614"/>
      <c r="B1026" s="1779"/>
      <c r="C1026" s="2465" t="s">
        <v>23</v>
      </c>
      <c r="D1026" s="2466" t="s">
        <v>776</v>
      </c>
      <c r="E1026" s="2459">
        <v>12000</v>
      </c>
      <c r="F1026" s="2459">
        <v>20000</v>
      </c>
      <c r="G1026" s="2468">
        <v>8989</v>
      </c>
      <c r="H1026" s="2461">
        <v>8988.4599999999991</v>
      </c>
      <c r="I1026" s="1769">
        <f t="shared" si="199"/>
        <v>0.99993992657692721</v>
      </c>
    </row>
    <row r="1027" spans="1:9" ht="16.5" customHeight="1">
      <c r="A1027" s="1638"/>
      <c r="B1027" s="1779"/>
      <c r="C1027" s="2471" t="s">
        <v>327</v>
      </c>
      <c r="D1027" s="2472" t="s">
        <v>778</v>
      </c>
      <c r="E1027" s="2459">
        <v>2000</v>
      </c>
      <c r="F1027" s="2459">
        <v>2000</v>
      </c>
      <c r="G1027" s="2468">
        <v>0</v>
      </c>
      <c r="H1027" s="2461">
        <v>0</v>
      </c>
      <c r="I1027" s="1769"/>
    </row>
    <row r="1028" spans="1:9" ht="16.5" customHeight="1">
      <c r="A1028" s="1638"/>
      <c r="B1028" s="1779"/>
      <c r="C1028" s="1695" t="s">
        <v>328</v>
      </c>
      <c r="D1028" s="1696" t="s">
        <v>781</v>
      </c>
      <c r="E1028" s="2254">
        <v>2000</v>
      </c>
      <c r="F1028" s="2254">
        <v>2000</v>
      </c>
      <c r="G1028" s="1881">
        <v>0</v>
      </c>
      <c r="H1028" s="1663">
        <v>0</v>
      </c>
      <c r="I1028" s="1769"/>
    </row>
    <row r="1029" spans="1:9" ht="27.75" customHeight="1">
      <c r="A1029" s="1614"/>
      <c r="B1029" s="1779"/>
      <c r="C1029" s="2473" t="s">
        <v>64</v>
      </c>
      <c r="D1029" s="2474" t="s">
        <v>994</v>
      </c>
      <c r="E1029" s="2459">
        <v>2000</v>
      </c>
      <c r="F1029" s="2459">
        <v>2000</v>
      </c>
      <c r="G1029" s="2468">
        <v>1417</v>
      </c>
      <c r="H1029" s="2461">
        <v>1416.96</v>
      </c>
      <c r="I1029" s="1769">
        <f t="shared" si="199"/>
        <v>0.99997177134791815</v>
      </c>
    </row>
    <row r="1030" spans="1:9" ht="12.75" customHeight="1">
      <c r="A1030" s="1614"/>
      <c r="B1030" s="1684"/>
      <c r="C1030" s="2000"/>
      <c r="D1030" s="2122"/>
      <c r="E1030" s="2459"/>
      <c r="F1030" s="2459"/>
      <c r="G1030" s="2468"/>
      <c r="H1030" s="2461"/>
      <c r="I1030" s="1769"/>
    </row>
    <row r="1031" spans="1:9" ht="14.25" customHeight="1">
      <c r="A1031" s="1614"/>
      <c r="B1031" s="1684"/>
      <c r="C1031" s="4902" t="s">
        <v>998</v>
      </c>
      <c r="D1031" s="4903"/>
      <c r="E1031" s="2254">
        <f>E1032</f>
        <v>7000</v>
      </c>
      <c r="F1031" s="2254">
        <f>F1032</f>
        <v>7000</v>
      </c>
      <c r="G1031" s="1760">
        <f t="shared" ref="G1031:H1031" si="215">G1032</f>
        <v>2432</v>
      </c>
      <c r="H1031" s="1663">
        <f t="shared" si="215"/>
        <v>2431.7800000000002</v>
      </c>
      <c r="I1031" s="1769">
        <f t="shared" si="199"/>
        <v>0.99990953947368433</v>
      </c>
    </row>
    <row r="1032" spans="1:9" ht="18.75" customHeight="1" thickBot="1">
      <c r="A1032" s="4716"/>
      <c r="B1032" s="1849"/>
      <c r="C1032" s="2475" t="s">
        <v>325</v>
      </c>
      <c r="D1032" s="2476" t="s">
        <v>977</v>
      </c>
      <c r="E1032" s="2477">
        <v>7000</v>
      </c>
      <c r="F1032" s="2477">
        <v>7000</v>
      </c>
      <c r="G1032" s="2478">
        <v>2432</v>
      </c>
      <c r="H1032" s="2479">
        <v>2431.7800000000002</v>
      </c>
      <c r="I1032" s="1651">
        <f t="shared" si="199"/>
        <v>0.99990953947368433</v>
      </c>
    </row>
    <row r="1033" spans="1:9" ht="17.100000000000001" customHeight="1" thickBot="1">
      <c r="A1033" s="4716"/>
      <c r="B1033" s="2480" t="s">
        <v>94</v>
      </c>
      <c r="C1033" s="2481"/>
      <c r="D1033" s="2482" t="s">
        <v>95</v>
      </c>
      <c r="E1033" s="1797">
        <f>E1034+E1124</f>
        <v>19129361</v>
      </c>
      <c r="F1033" s="1797">
        <f>F1034+F1124</f>
        <v>55362338</v>
      </c>
      <c r="G1033" s="1934">
        <f>G1034+G1124</f>
        <v>20107359</v>
      </c>
      <c r="H1033" s="1935">
        <f>H1034+H1124</f>
        <v>14614126.120000001</v>
      </c>
      <c r="I1033" s="1936">
        <f t="shared" ref="I1033:I1100" si="216">H1033/G1033</f>
        <v>0.72680485388459026</v>
      </c>
    </row>
    <row r="1034" spans="1:9" ht="17.100000000000001" customHeight="1">
      <c r="A1034" s="4716"/>
      <c r="B1034" s="2483"/>
      <c r="C1034" s="4871" t="s">
        <v>760</v>
      </c>
      <c r="D1034" s="4871"/>
      <c r="E1034" s="1616">
        <f>E1035+E1052+E1059+E1056</f>
        <v>16807272</v>
      </c>
      <c r="F1034" s="1734">
        <f>F1035+F1052+F1059+F1056</f>
        <v>16120249</v>
      </c>
      <c r="G1034" s="1735">
        <f t="shared" ref="G1034:H1034" si="217">G1035+G1052+G1059+G1056</f>
        <v>14586517</v>
      </c>
      <c r="H1034" s="1617">
        <f t="shared" si="217"/>
        <v>11683618.620000001</v>
      </c>
      <c r="I1034" s="1664">
        <f t="shared" si="216"/>
        <v>0.8009875572077968</v>
      </c>
    </row>
    <row r="1035" spans="1:9" ht="17.100000000000001" customHeight="1">
      <c r="A1035" s="1614"/>
      <c r="B1035" s="1890"/>
      <c r="C1035" s="4904" t="s">
        <v>761</v>
      </c>
      <c r="D1035" s="4904"/>
      <c r="E1035" s="2484">
        <f>E1036+E1039</f>
        <v>9430390</v>
      </c>
      <c r="F1035" s="2485">
        <f>F1036+F1039</f>
        <v>7984596</v>
      </c>
      <c r="G1035" s="2486">
        <f t="shared" ref="G1035:H1035" si="218">G1036+G1039</f>
        <v>7279118</v>
      </c>
      <c r="H1035" s="2487">
        <f t="shared" si="218"/>
        <v>7191690.7200000007</v>
      </c>
      <c r="I1035" s="1664">
        <f t="shared" si="216"/>
        <v>0.98798930309963384</v>
      </c>
    </row>
    <row r="1036" spans="1:9" ht="17.100000000000001" customHeight="1">
      <c r="A1036" s="1614"/>
      <c r="B1036" s="1890"/>
      <c r="C1036" s="4905" t="s">
        <v>762</v>
      </c>
      <c r="D1036" s="4905"/>
      <c r="E1036" s="2488">
        <f>SUM(E1037:E1037)</f>
        <v>177659</v>
      </c>
      <c r="F1036" s="2489">
        <f>SUM(F1037:F1037)</f>
        <v>80000</v>
      </c>
      <c r="G1036" s="2490">
        <f t="shared" ref="G1036:H1036" si="219">SUM(G1037:G1037)</f>
        <v>70000</v>
      </c>
      <c r="H1036" s="2491">
        <f t="shared" si="219"/>
        <v>50000</v>
      </c>
      <c r="I1036" s="2047">
        <f t="shared" si="216"/>
        <v>0.7142857142857143</v>
      </c>
    </row>
    <row r="1037" spans="1:9" ht="17.100000000000001" customHeight="1">
      <c r="A1037" s="1614"/>
      <c r="B1037" s="1890"/>
      <c r="C1037" s="2465" t="s">
        <v>324</v>
      </c>
      <c r="D1037" s="2466" t="s">
        <v>767</v>
      </c>
      <c r="E1037" s="2484">
        <f>177159+500</f>
        <v>177659</v>
      </c>
      <c r="F1037" s="2485">
        <v>80000</v>
      </c>
      <c r="G1037" s="2486">
        <v>70000</v>
      </c>
      <c r="H1037" s="2487">
        <v>50000</v>
      </c>
      <c r="I1037" s="1664">
        <f t="shared" si="216"/>
        <v>0.7142857142857143</v>
      </c>
    </row>
    <row r="1038" spans="1:9" ht="17.100000000000001" customHeight="1">
      <c r="A1038" s="1614"/>
      <c r="B1038" s="1890"/>
      <c r="C1038" s="1688"/>
      <c r="D1038" s="1688"/>
      <c r="E1038" s="2492"/>
      <c r="F1038" s="1638"/>
      <c r="G1038" s="2486"/>
      <c r="H1038" s="2487"/>
      <c r="I1038" s="1664"/>
    </row>
    <row r="1039" spans="1:9" ht="17.100000000000001" customHeight="1">
      <c r="A1039" s="1614"/>
      <c r="B1039" s="1890"/>
      <c r="C1039" s="4906" t="s">
        <v>769</v>
      </c>
      <c r="D1039" s="4906"/>
      <c r="E1039" s="2488">
        <f>SUM(E1040:E1054)</f>
        <v>9252731</v>
      </c>
      <c r="F1039" s="2489">
        <f t="shared" ref="F1039:H1039" si="220">SUM(F1040:F1054)</f>
        <v>7904596</v>
      </c>
      <c r="G1039" s="2490">
        <f>SUM(G1040:G1054)</f>
        <v>7209118</v>
      </c>
      <c r="H1039" s="2491">
        <f t="shared" si="220"/>
        <v>7141690.7200000007</v>
      </c>
      <c r="I1039" s="2047">
        <f t="shared" si="216"/>
        <v>0.9906469446054289</v>
      </c>
    </row>
    <row r="1040" spans="1:9" ht="17.100000000000001" customHeight="1">
      <c r="A1040" s="1614"/>
      <c r="B1040" s="1890"/>
      <c r="C1040" s="2465" t="s">
        <v>22</v>
      </c>
      <c r="D1040" s="2466" t="s">
        <v>771</v>
      </c>
      <c r="E1040" s="2484">
        <v>8000</v>
      </c>
      <c r="F1040" s="2485">
        <v>168000</v>
      </c>
      <c r="G1040" s="2486">
        <v>24056</v>
      </c>
      <c r="H1040" s="2487">
        <v>24056</v>
      </c>
      <c r="I1040" s="1664">
        <f t="shared" si="216"/>
        <v>1</v>
      </c>
    </row>
    <row r="1041" spans="1:9" ht="17.100000000000001" customHeight="1">
      <c r="A1041" s="1614"/>
      <c r="B1041" s="1890"/>
      <c r="C1041" s="2493" t="s">
        <v>87</v>
      </c>
      <c r="D1041" s="2494" t="s">
        <v>774</v>
      </c>
      <c r="E1041" s="2495"/>
      <c r="F1041" s="2496">
        <v>0</v>
      </c>
      <c r="G1041" s="2497">
        <v>1000</v>
      </c>
      <c r="H1041" s="2498">
        <v>651.9</v>
      </c>
      <c r="I1041" s="1664">
        <f t="shared" si="216"/>
        <v>0.65189999999999992</v>
      </c>
    </row>
    <row r="1042" spans="1:9" ht="17.100000000000001" customHeight="1">
      <c r="A1042" s="1638"/>
      <c r="B1042" s="1890"/>
      <c r="C1042" s="2499" t="s">
        <v>23</v>
      </c>
      <c r="D1042" s="2500" t="s">
        <v>776</v>
      </c>
      <c r="E1042" s="2484">
        <f>16000+1000+3421873+5192600</f>
        <v>8631473</v>
      </c>
      <c r="F1042" s="2485">
        <v>6829605</v>
      </c>
      <c r="G1042" s="2486">
        <v>6686501</v>
      </c>
      <c r="H1042" s="2487">
        <v>6660298.6500000004</v>
      </c>
      <c r="I1042" s="1664">
        <f t="shared" si="216"/>
        <v>0.99608130620185364</v>
      </c>
    </row>
    <row r="1043" spans="1:9" ht="17.100000000000001" customHeight="1">
      <c r="A1043" s="1638"/>
      <c r="B1043" s="1890"/>
      <c r="C1043" s="1659" t="s">
        <v>916</v>
      </c>
      <c r="D1043" s="1660" t="s">
        <v>917</v>
      </c>
      <c r="E1043" s="1760">
        <f>3640+9000</f>
        <v>12640</v>
      </c>
      <c r="F1043" s="1661">
        <v>24640</v>
      </c>
      <c r="G1043" s="1761">
        <v>10500</v>
      </c>
      <c r="H1043" s="1663">
        <v>4563.3</v>
      </c>
      <c r="I1043" s="1664">
        <f t="shared" si="216"/>
        <v>0.43460000000000004</v>
      </c>
    </row>
    <row r="1044" spans="1:9" ht="17.100000000000001" customHeight="1">
      <c r="A1044" s="1614"/>
      <c r="B1044" s="1890"/>
      <c r="C1044" s="2501" t="s">
        <v>327</v>
      </c>
      <c r="D1044" s="2502" t="s">
        <v>778</v>
      </c>
      <c r="E1044" s="2484">
        <f>500+15300+200500+50000</f>
        <v>266300</v>
      </c>
      <c r="F1044" s="2485">
        <v>508500</v>
      </c>
      <c r="G1044" s="2486">
        <v>145827</v>
      </c>
      <c r="H1044" s="2487">
        <v>118826.61</v>
      </c>
      <c r="I1044" s="1664">
        <f t="shared" si="216"/>
        <v>0.81484642761628501</v>
      </c>
    </row>
    <row r="1045" spans="1:9" ht="17.100000000000001" customHeight="1">
      <c r="A1045" s="1614"/>
      <c r="B1045" s="1890"/>
      <c r="C1045" s="2503" t="s">
        <v>328</v>
      </c>
      <c r="D1045" s="2504" t="s">
        <v>781</v>
      </c>
      <c r="E1045" s="2505">
        <v>1000</v>
      </c>
      <c r="F1045" s="2506">
        <v>2000</v>
      </c>
      <c r="G1045" s="2507">
        <v>0</v>
      </c>
      <c r="H1045" s="2508">
        <v>0</v>
      </c>
      <c r="I1045" s="1664"/>
    </row>
    <row r="1046" spans="1:9" ht="17.100000000000001" customHeight="1" thickBot="1">
      <c r="A1046" s="1644"/>
      <c r="B1046" s="2509"/>
      <c r="C1046" s="2510" t="s">
        <v>899</v>
      </c>
      <c r="D1046" s="2511" t="s">
        <v>900</v>
      </c>
      <c r="E1046" s="1745">
        <f>1341+7000</f>
        <v>8341</v>
      </c>
      <c r="F1046" s="1678">
        <v>15000</v>
      </c>
      <c r="G1046" s="2512">
        <v>2000</v>
      </c>
      <c r="H1046" s="1747">
        <v>1118.74</v>
      </c>
      <c r="I1046" s="1651">
        <f t="shared" si="216"/>
        <v>0.55937000000000003</v>
      </c>
    </row>
    <row r="1047" spans="1:9" ht="17.100000000000001" customHeight="1">
      <c r="A1047" s="1614"/>
      <c r="B1047" s="1890"/>
      <c r="C1047" s="1659" t="s">
        <v>333</v>
      </c>
      <c r="D1047" s="1660" t="s">
        <v>782</v>
      </c>
      <c r="E1047" s="1760">
        <f>117095+131130</f>
        <v>248225</v>
      </c>
      <c r="F1047" s="1661">
        <v>279444</v>
      </c>
      <c r="G1047" s="1761">
        <v>272554</v>
      </c>
      <c r="H1047" s="1663">
        <v>272553.02</v>
      </c>
      <c r="I1047" s="1664">
        <f t="shared" si="216"/>
        <v>0.9999964043822509</v>
      </c>
    </row>
    <row r="1048" spans="1:9" ht="17.100000000000001" customHeight="1">
      <c r="A1048" s="1614"/>
      <c r="B1048" s="1890"/>
      <c r="C1048" s="2503" t="s">
        <v>999</v>
      </c>
      <c r="D1048" s="2504" t="s">
        <v>1000</v>
      </c>
      <c r="E1048" s="2505">
        <v>45000</v>
      </c>
      <c r="F1048" s="2506">
        <v>60500</v>
      </c>
      <c r="G1048" s="2507">
        <v>59773</v>
      </c>
      <c r="H1048" s="2508">
        <v>59622.5</v>
      </c>
      <c r="I1048" s="1664">
        <f t="shared" si="216"/>
        <v>0.9974821407658977</v>
      </c>
    </row>
    <row r="1049" spans="1:9" ht="17.100000000000001" hidden="1" customHeight="1">
      <c r="A1049" s="1614"/>
      <c r="B1049" s="1890"/>
      <c r="C1049" s="2503" t="s">
        <v>884</v>
      </c>
      <c r="D1049" s="2504" t="s">
        <v>885</v>
      </c>
      <c r="E1049" s="2505"/>
      <c r="F1049" s="2506">
        <v>0</v>
      </c>
      <c r="G1049" s="2507">
        <v>0</v>
      </c>
      <c r="H1049" s="2508">
        <v>0</v>
      </c>
      <c r="I1049" s="1664" t="e">
        <f t="shared" si="216"/>
        <v>#DIV/0!</v>
      </c>
    </row>
    <row r="1050" spans="1:9" ht="15.75" customHeight="1">
      <c r="A1050" s="1614"/>
      <c r="B1050" s="1890"/>
      <c r="C1050" s="2503" t="s">
        <v>848</v>
      </c>
      <c r="D1050" s="2504" t="s">
        <v>849</v>
      </c>
      <c r="E1050" s="2505">
        <f>6752+25000</f>
        <v>31752</v>
      </c>
      <c r="F1050" s="2506">
        <v>16907</v>
      </c>
      <c r="G1050" s="2507">
        <v>6907</v>
      </c>
      <c r="H1050" s="2508">
        <v>0</v>
      </c>
      <c r="I1050" s="1664">
        <f t="shared" si="216"/>
        <v>0</v>
      </c>
    </row>
    <row r="1051" spans="1:9" ht="12.75" hidden="1" customHeight="1">
      <c r="A1051" s="1614"/>
      <c r="B1051" s="1890"/>
      <c r="C1051" s="1688"/>
      <c r="D1051" s="1688"/>
      <c r="E1051" s="2505"/>
      <c r="F1051" s="2506"/>
      <c r="G1051" s="2507"/>
      <c r="H1051" s="2508"/>
      <c r="I1051" s="1664" t="e">
        <f t="shared" si="216"/>
        <v>#DIV/0!</v>
      </c>
    </row>
    <row r="1052" spans="1:9" ht="12.75" hidden="1" customHeight="1">
      <c r="A1052" s="1614"/>
      <c r="B1052" s="1890"/>
      <c r="C1052" s="4894" t="s">
        <v>838</v>
      </c>
      <c r="D1052" s="4894"/>
      <c r="E1052" s="2505"/>
      <c r="F1052" s="2506"/>
      <c r="G1052" s="2507"/>
      <c r="H1052" s="2508"/>
      <c r="I1052" s="1664" t="e">
        <f t="shared" si="216"/>
        <v>#DIV/0!</v>
      </c>
    </row>
    <row r="1053" spans="1:9" ht="38.25" hidden="1" customHeight="1">
      <c r="A1053" s="1614"/>
      <c r="B1053" s="1890"/>
      <c r="C1053" s="2513" t="s">
        <v>33</v>
      </c>
      <c r="D1053" s="2514" t="s">
        <v>1001</v>
      </c>
      <c r="E1053" s="2505"/>
      <c r="F1053" s="2506"/>
      <c r="G1053" s="2507"/>
      <c r="H1053" s="2508"/>
      <c r="I1053" s="1664" t="e">
        <f t="shared" si="216"/>
        <v>#DIV/0!</v>
      </c>
    </row>
    <row r="1054" spans="1:9" ht="15" hidden="1" customHeight="1">
      <c r="A1054" s="1614"/>
      <c r="B1054" s="1890"/>
      <c r="C1054" s="2503" t="s">
        <v>64</v>
      </c>
      <c r="D1054" s="2515" t="s">
        <v>994</v>
      </c>
      <c r="E1054" s="2505"/>
      <c r="F1054" s="2506"/>
      <c r="G1054" s="2507"/>
      <c r="H1054" s="2508"/>
      <c r="I1054" s="1664" t="e">
        <f t="shared" si="216"/>
        <v>#DIV/0!</v>
      </c>
    </row>
    <row r="1055" spans="1:9" ht="17.100000000000001" customHeight="1">
      <c r="A1055" s="1614"/>
      <c r="B1055" s="1890"/>
      <c r="C1055" s="2516"/>
      <c r="D1055" s="2517"/>
      <c r="E1055" s="2516"/>
      <c r="F1055" s="2518"/>
      <c r="G1055" s="2507"/>
      <c r="H1055" s="2508"/>
      <c r="I1055" s="1664"/>
    </row>
    <row r="1056" spans="1:9" ht="17.100000000000001" customHeight="1">
      <c r="A1056" s="1614"/>
      <c r="B1056" s="1890"/>
      <c r="C1056" s="4874" t="s">
        <v>998</v>
      </c>
      <c r="D1056" s="4874"/>
      <c r="E1056" s="2519">
        <f t="shared" ref="E1056:H1056" si="221">E1057</f>
        <v>4500</v>
      </c>
      <c r="F1056" s="2520">
        <f t="shared" si="221"/>
        <v>5153</v>
      </c>
      <c r="G1056" s="2521">
        <f t="shared" si="221"/>
        <v>3153</v>
      </c>
      <c r="H1056" s="2522">
        <f t="shared" si="221"/>
        <v>1073.18</v>
      </c>
      <c r="I1056" s="1769">
        <f t="shared" si="216"/>
        <v>0.34036790358388835</v>
      </c>
    </row>
    <row r="1057" spans="1:9" ht="17.100000000000001" customHeight="1">
      <c r="A1057" s="1614"/>
      <c r="B1057" s="1890"/>
      <c r="C1057" s="2503" t="s">
        <v>325</v>
      </c>
      <c r="D1057" s="2504" t="s">
        <v>977</v>
      </c>
      <c r="E1057" s="2523">
        <v>4500</v>
      </c>
      <c r="F1057" s="2524">
        <v>5153</v>
      </c>
      <c r="G1057" s="2507">
        <v>3153</v>
      </c>
      <c r="H1057" s="2508">
        <v>1073.18</v>
      </c>
      <c r="I1057" s="1769">
        <f t="shared" si="216"/>
        <v>0.34036790358388835</v>
      </c>
    </row>
    <row r="1058" spans="1:9" ht="17.100000000000001" customHeight="1">
      <c r="A1058" s="1614"/>
      <c r="B1058" s="1890"/>
      <c r="C1058" s="4895"/>
      <c r="D1058" s="4896"/>
      <c r="E1058" s="2516"/>
      <c r="F1058" s="2518"/>
      <c r="G1058" s="2507"/>
      <c r="H1058" s="2508"/>
      <c r="I1058" s="1769"/>
    </row>
    <row r="1059" spans="1:9" ht="27" customHeight="1">
      <c r="A1059" s="1638"/>
      <c r="B1059" s="1890"/>
      <c r="C1059" s="4897" t="s">
        <v>803</v>
      </c>
      <c r="D1059" s="4898"/>
      <c r="E1059" s="2505">
        <f>SUM(E1060:E1122)</f>
        <v>7372382</v>
      </c>
      <c r="F1059" s="2506">
        <f>SUM(F1060:F1122)</f>
        <v>8130500</v>
      </c>
      <c r="G1059" s="2507">
        <f>SUM(G1060:G1122)</f>
        <v>7304246</v>
      </c>
      <c r="H1059" s="2508">
        <f>SUM(H1060:H1122)</f>
        <v>4490854.7200000007</v>
      </c>
      <c r="I1059" s="2525">
        <f t="shared" si="216"/>
        <v>0.61482796718511401</v>
      </c>
    </row>
    <row r="1060" spans="1:9" ht="67.5" customHeight="1">
      <c r="A1060" s="1638"/>
      <c r="B1060" s="1890"/>
      <c r="C1060" s="2322" t="s">
        <v>535</v>
      </c>
      <c r="D1060" s="1827" t="s">
        <v>804</v>
      </c>
      <c r="E1060" s="1760">
        <v>254341</v>
      </c>
      <c r="F1060" s="1661">
        <v>512388</v>
      </c>
      <c r="G1060" s="1761">
        <f>367463+103347</f>
        <v>470810</v>
      </c>
      <c r="H1060" s="1663">
        <v>255972.93</v>
      </c>
      <c r="I1060" s="1664">
        <f t="shared" si="216"/>
        <v>0.54368626409804377</v>
      </c>
    </row>
    <row r="1061" spans="1:9" ht="57" hidden="1" customHeight="1">
      <c r="A1061" s="1614"/>
      <c r="B1061" s="1890"/>
      <c r="C1061" s="2526" t="s">
        <v>524</v>
      </c>
      <c r="D1061" s="1827" t="s">
        <v>804</v>
      </c>
      <c r="E1061" s="1760"/>
      <c r="F1061" s="1661">
        <v>0</v>
      </c>
      <c r="G1061" s="2507"/>
      <c r="H1061" s="2508"/>
      <c r="I1061" s="1769" t="e">
        <f t="shared" si="216"/>
        <v>#DIV/0!</v>
      </c>
    </row>
    <row r="1062" spans="1:9" ht="66" customHeight="1">
      <c r="A1062" s="1614"/>
      <c r="B1062" s="1890"/>
      <c r="C1062" s="2527" t="s">
        <v>689</v>
      </c>
      <c r="D1062" s="2185" t="s">
        <v>804</v>
      </c>
      <c r="E1062" s="1760">
        <v>15403</v>
      </c>
      <c r="F1062" s="1661">
        <v>31785</v>
      </c>
      <c r="G1062" s="2507">
        <f>22253+7014</f>
        <v>29267</v>
      </c>
      <c r="H1062" s="2508">
        <v>16259.47</v>
      </c>
      <c r="I1062" s="1769">
        <f t="shared" si="216"/>
        <v>0.5555564287422694</v>
      </c>
    </row>
    <row r="1063" spans="1:9" ht="67.5" customHeight="1">
      <c r="A1063" s="1638"/>
      <c r="B1063" s="1890"/>
      <c r="C1063" s="2527" t="s">
        <v>611</v>
      </c>
      <c r="D1063" s="2528" t="s">
        <v>1002</v>
      </c>
      <c r="E1063" s="2505">
        <v>2320815</v>
      </c>
      <c r="F1063" s="2506">
        <v>1028760</v>
      </c>
      <c r="G1063" s="2507">
        <f>445338</f>
        <v>445338</v>
      </c>
      <c r="H1063" s="2508">
        <v>397809.51</v>
      </c>
      <c r="I1063" s="2525">
        <f t="shared" si="216"/>
        <v>0.89327546717324824</v>
      </c>
    </row>
    <row r="1064" spans="1:9" ht="69" customHeight="1" thickBot="1">
      <c r="A1064" s="1638"/>
      <c r="B1064" s="1890"/>
      <c r="C1064" s="2290" t="s">
        <v>528</v>
      </c>
      <c r="D1064" s="1827" t="s">
        <v>1002</v>
      </c>
      <c r="E1064" s="1760">
        <v>140543</v>
      </c>
      <c r="F1064" s="1661">
        <v>62299</v>
      </c>
      <c r="G1064" s="1761">
        <f>26968</f>
        <v>26968</v>
      </c>
      <c r="H1064" s="1663">
        <v>24090.49</v>
      </c>
      <c r="I1064" s="1664">
        <f t="shared" si="216"/>
        <v>0.89329909522396922</v>
      </c>
    </row>
    <row r="1065" spans="1:9" ht="55.5" customHeight="1" thickBot="1">
      <c r="A1065" s="1644"/>
      <c r="B1065" s="2509"/>
      <c r="C1065" s="2529" t="s">
        <v>687</v>
      </c>
      <c r="D1065" s="2530" t="s">
        <v>898</v>
      </c>
      <c r="E1065" s="2531"/>
      <c r="F1065" s="1814">
        <v>0</v>
      </c>
      <c r="G1065" s="2532">
        <f>700+16362</f>
        <v>17062</v>
      </c>
      <c r="H1065" s="1815">
        <v>17061.830000000002</v>
      </c>
      <c r="I1065" s="2533">
        <f t="shared" si="216"/>
        <v>0.99999003633806127</v>
      </c>
    </row>
    <row r="1066" spans="1:9" ht="57.75" customHeight="1">
      <c r="A1066" s="1614"/>
      <c r="B1066" s="1890"/>
      <c r="C1066" s="2534" t="s">
        <v>634</v>
      </c>
      <c r="D1066" s="1827" t="s">
        <v>898</v>
      </c>
      <c r="E1066" s="1760"/>
      <c r="F1066" s="1661">
        <v>0</v>
      </c>
      <c r="G1066" s="1761">
        <f>124+2888</f>
        <v>3012</v>
      </c>
      <c r="H1066" s="1663">
        <v>3011.51</v>
      </c>
      <c r="I1066" s="1664">
        <f t="shared" si="216"/>
        <v>0.99983731739707837</v>
      </c>
    </row>
    <row r="1067" spans="1:9" ht="16.5" hidden="1" customHeight="1">
      <c r="A1067" s="1614"/>
      <c r="B1067" s="1890"/>
      <c r="C1067" s="2527" t="s">
        <v>1003</v>
      </c>
      <c r="D1067" s="1827" t="s">
        <v>858</v>
      </c>
      <c r="E1067" s="1760"/>
      <c r="F1067" s="1661">
        <v>0</v>
      </c>
      <c r="G1067" s="2507">
        <v>0</v>
      </c>
      <c r="H1067" s="2508">
        <v>0</v>
      </c>
      <c r="I1067" s="1769"/>
    </row>
    <row r="1068" spans="1:9" ht="16.5" customHeight="1">
      <c r="A1068" s="1614"/>
      <c r="B1068" s="1890"/>
      <c r="C1068" s="1659" t="s">
        <v>859</v>
      </c>
      <c r="D1068" s="2504" t="s">
        <v>763</v>
      </c>
      <c r="E1068" s="1760">
        <v>28418</v>
      </c>
      <c r="F1068" s="1661">
        <v>260825</v>
      </c>
      <c r="G1068" s="2507">
        <f>52940+204449+11712</f>
        <v>269101</v>
      </c>
      <c r="H1068" s="2508">
        <v>154835.99</v>
      </c>
      <c r="I1068" s="1769">
        <f t="shared" si="216"/>
        <v>0.57538244005038996</v>
      </c>
    </row>
    <row r="1069" spans="1:9" ht="17.100000000000001" customHeight="1">
      <c r="A1069" s="1614"/>
      <c r="B1069" s="1890"/>
      <c r="C1069" s="1659" t="s">
        <v>807</v>
      </c>
      <c r="D1069" s="2504" t="s">
        <v>763</v>
      </c>
      <c r="E1069" s="1760">
        <f>245948+1002404+46107</f>
        <v>1294459</v>
      </c>
      <c r="F1069" s="1661">
        <v>1363808</v>
      </c>
      <c r="G1069" s="2507">
        <f>56498+259500+972234+40880+14646+14646+7344</f>
        <v>1365748</v>
      </c>
      <c r="H1069" s="2508">
        <v>1298463.49</v>
      </c>
      <c r="I1069" s="1769">
        <f t="shared" si="216"/>
        <v>0.95073431555455323</v>
      </c>
    </row>
    <row r="1070" spans="1:9" ht="17.100000000000001" customHeight="1">
      <c r="A1070" s="1614"/>
      <c r="B1070" s="1890"/>
      <c r="C1070" s="2503" t="s">
        <v>808</v>
      </c>
      <c r="D1070" s="2504" t="s">
        <v>763</v>
      </c>
      <c r="E1070" s="1760">
        <f>176895+1720+8136</f>
        <v>186751</v>
      </c>
      <c r="F1070" s="1661">
        <v>246967</v>
      </c>
      <c r="G1070" s="2507">
        <f>9970+3206+38133+171570+12551+710+4498+4498+2256</f>
        <v>247392</v>
      </c>
      <c r="H1070" s="2508">
        <v>216528.55</v>
      </c>
      <c r="I1070" s="1769">
        <f t="shared" si="216"/>
        <v>0.87524475326607165</v>
      </c>
    </row>
    <row r="1071" spans="1:9" ht="17.100000000000001" customHeight="1">
      <c r="A1071" s="1614"/>
      <c r="B1071" s="1890"/>
      <c r="C1071" s="2503" t="s">
        <v>809</v>
      </c>
      <c r="D1071" s="2504" t="s">
        <v>764</v>
      </c>
      <c r="E1071" s="1760">
        <f>18740+64927</f>
        <v>83667</v>
      </c>
      <c r="F1071" s="1661">
        <v>116377</v>
      </c>
      <c r="G1071" s="2507">
        <f>2975+20000+66136</f>
        <v>89111</v>
      </c>
      <c r="H1071" s="2508">
        <v>86309.58</v>
      </c>
      <c r="I1071" s="1769">
        <f t="shared" si="216"/>
        <v>0.96856257925508638</v>
      </c>
    </row>
    <row r="1072" spans="1:9" ht="17.100000000000001" customHeight="1">
      <c r="A1072" s="1614"/>
      <c r="B1072" s="1890"/>
      <c r="C1072" s="2503" t="s">
        <v>810</v>
      </c>
      <c r="D1072" s="2504" t="s">
        <v>764</v>
      </c>
      <c r="E1072" s="1760">
        <v>11458</v>
      </c>
      <c r="F1072" s="1661">
        <v>17008</v>
      </c>
      <c r="G1072" s="2507">
        <f>525+11671</f>
        <v>12196</v>
      </c>
      <c r="H1072" s="2508">
        <v>12179.06</v>
      </c>
      <c r="I1072" s="1769">
        <f t="shared" si="216"/>
        <v>0.99861102000655944</v>
      </c>
    </row>
    <row r="1073" spans="1:9" ht="17.100000000000001" customHeight="1">
      <c r="A1073" s="1638"/>
      <c r="B1073" s="1890"/>
      <c r="C1073" s="2535" t="s">
        <v>861</v>
      </c>
      <c r="D1073" s="2536" t="s">
        <v>765</v>
      </c>
      <c r="E1073" s="1760">
        <v>4938</v>
      </c>
      <c r="F1073" s="1661">
        <v>44801</v>
      </c>
      <c r="G1073" s="2507">
        <f>8867+35229+2046</f>
        <v>46142</v>
      </c>
      <c r="H1073" s="2508">
        <v>26057.49</v>
      </c>
      <c r="I1073" s="1769">
        <f t="shared" si="216"/>
        <v>0.56472389579992199</v>
      </c>
    </row>
    <row r="1074" spans="1:9" ht="17.100000000000001" customHeight="1">
      <c r="A1074" s="1638"/>
      <c r="B1074" s="1890"/>
      <c r="C1074" s="1659" t="s">
        <v>811</v>
      </c>
      <c r="D1074" s="1660" t="s">
        <v>765</v>
      </c>
      <c r="E1074" s="1760">
        <f>45587+191693+8011</f>
        <v>245291</v>
      </c>
      <c r="F1074" s="1661">
        <v>243708</v>
      </c>
      <c r="G1074" s="1761">
        <f>10589+48000+177301+7029+2525+2525+1262</f>
        <v>249231</v>
      </c>
      <c r="H1074" s="1663">
        <v>235996.63</v>
      </c>
      <c r="I1074" s="1664">
        <f t="shared" si="216"/>
        <v>0.94689918188347355</v>
      </c>
    </row>
    <row r="1075" spans="1:9" ht="17.100000000000001" customHeight="1">
      <c r="A1075" s="1614"/>
      <c r="B1075" s="1890"/>
      <c r="C1075" s="2503" t="s">
        <v>812</v>
      </c>
      <c r="D1075" s="2504" t="s">
        <v>765</v>
      </c>
      <c r="E1075" s="1760">
        <f>33828+300+1414</f>
        <v>35542</v>
      </c>
      <c r="F1075" s="1661">
        <v>43486</v>
      </c>
      <c r="G1075" s="2507">
        <f>1868+535+6571+31289+2159+125+777+777+388</f>
        <v>44489</v>
      </c>
      <c r="H1075" s="2508">
        <v>38863.58</v>
      </c>
      <c r="I1075" s="1664">
        <f t="shared" si="216"/>
        <v>0.87355481130167012</v>
      </c>
    </row>
    <row r="1076" spans="1:9" ht="26.25" customHeight="1">
      <c r="A1076" s="1614"/>
      <c r="B1076" s="1890"/>
      <c r="C1076" s="2537" t="s">
        <v>862</v>
      </c>
      <c r="D1076" s="2538" t="s">
        <v>766</v>
      </c>
      <c r="E1076" s="1760">
        <v>698</v>
      </c>
      <c r="F1076" s="1661">
        <v>6261</v>
      </c>
      <c r="G1076" s="2507">
        <f>1265+4894+293</f>
        <v>6452</v>
      </c>
      <c r="H1076" s="2508">
        <v>3707.34</v>
      </c>
      <c r="I1076" s="1664">
        <f t="shared" si="216"/>
        <v>0.57460322380657158</v>
      </c>
    </row>
    <row r="1077" spans="1:9" ht="26.25" customHeight="1">
      <c r="A1077" s="1614"/>
      <c r="B1077" s="1890"/>
      <c r="C1077" s="1659" t="s">
        <v>813</v>
      </c>
      <c r="D1077" s="1660" t="s">
        <v>766</v>
      </c>
      <c r="E1077" s="1760">
        <f>4577+54742+1132</f>
        <v>60451</v>
      </c>
      <c r="F1077" s="1661">
        <v>62316</v>
      </c>
      <c r="G1077" s="1761">
        <f>1509+7000+52598+1002+360+360+180</f>
        <v>63009</v>
      </c>
      <c r="H1077" s="1663">
        <v>28822.799999999999</v>
      </c>
      <c r="I1077" s="1664">
        <f t="shared" si="216"/>
        <v>0.45743941341713085</v>
      </c>
    </row>
    <row r="1078" spans="1:9" ht="25.5" customHeight="1">
      <c r="A1078" s="1614"/>
      <c r="B1078" s="1890"/>
      <c r="C1078" s="2503" t="s">
        <v>814</v>
      </c>
      <c r="D1078" s="2504" t="s">
        <v>766</v>
      </c>
      <c r="E1078" s="1760">
        <f>9660+42+200</f>
        <v>9902</v>
      </c>
      <c r="F1078" s="1661">
        <v>11015</v>
      </c>
      <c r="G1078" s="2507">
        <f>266+77+913+9282+309+18+111+111+56</f>
        <v>11143</v>
      </c>
      <c r="H1078" s="2508">
        <v>4698.49</v>
      </c>
      <c r="I1078" s="1664">
        <f t="shared" si="216"/>
        <v>0.4216539531544467</v>
      </c>
    </row>
    <row r="1079" spans="1:9" ht="17.100000000000001" customHeight="1">
      <c r="A1079" s="1614"/>
      <c r="B1079" s="1890"/>
      <c r="C1079" s="2503" t="s">
        <v>962</v>
      </c>
      <c r="D1079" s="2504" t="s">
        <v>767</v>
      </c>
      <c r="E1079" s="1760">
        <v>14271</v>
      </c>
      <c r="F1079" s="1661">
        <v>0</v>
      </c>
      <c r="G1079" s="2507">
        <v>0</v>
      </c>
      <c r="H1079" s="2508">
        <v>0</v>
      </c>
      <c r="I1079" s="1664"/>
    </row>
    <row r="1080" spans="1:9" ht="17.100000000000001" customHeight="1">
      <c r="A1080" s="1614"/>
      <c r="B1080" s="1890"/>
      <c r="C1080" s="2537" t="s">
        <v>815</v>
      </c>
      <c r="D1080" s="2538" t="s">
        <v>767</v>
      </c>
      <c r="E1080" s="1760">
        <v>2000</v>
      </c>
      <c r="F1080" s="1661">
        <v>0</v>
      </c>
      <c r="G1080" s="2507">
        <f>743</f>
        <v>743</v>
      </c>
      <c r="H1080" s="2508">
        <v>742.9</v>
      </c>
      <c r="I1080" s="1664">
        <f t="shared" si="216"/>
        <v>0.99986541049798117</v>
      </c>
    </row>
    <row r="1081" spans="1:9" ht="17.100000000000001" customHeight="1">
      <c r="A1081" s="1614"/>
      <c r="B1081" s="1890"/>
      <c r="C1081" s="1659" t="s">
        <v>816</v>
      </c>
      <c r="D1081" s="1660" t="s">
        <v>767</v>
      </c>
      <c r="E1081" s="1760">
        <v>864</v>
      </c>
      <c r="F1081" s="1661">
        <v>0</v>
      </c>
      <c r="G1081" s="1761">
        <f>132</f>
        <v>132</v>
      </c>
      <c r="H1081" s="1663">
        <v>131.1</v>
      </c>
      <c r="I1081" s="1664">
        <f t="shared" si="216"/>
        <v>0.99318181818181817</v>
      </c>
    </row>
    <row r="1082" spans="1:9" ht="17.100000000000001" hidden="1" customHeight="1">
      <c r="A1082" s="1614"/>
      <c r="B1082" s="1890"/>
      <c r="C1082" s="2503" t="s">
        <v>22</v>
      </c>
      <c r="D1082" s="2504" t="s">
        <v>771</v>
      </c>
      <c r="E1082" s="1760">
        <v>1300</v>
      </c>
      <c r="F1082" s="1661"/>
      <c r="G1082" s="2507"/>
      <c r="H1082" s="2508"/>
      <c r="I1082" s="1664" t="e">
        <f t="shared" si="216"/>
        <v>#DIV/0!</v>
      </c>
    </row>
    <row r="1083" spans="1:9" ht="17.100000000000001" customHeight="1">
      <c r="A1083" s="1614"/>
      <c r="B1083" s="1890"/>
      <c r="C1083" s="2503" t="s">
        <v>863</v>
      </c>
      <c r="D1083" s="2504" t="s">
        <v>771</v>
      </c>
      <c r="E1083" s="1760">
        <v>41048</v>
      </c>
      <c r="F1083" s="1661">
        <v>5569</v>
      </c>
      <c r="G1083" s="2507">
        <f>48560</f>
        <v>48560</v>
      </c>
      <c r="H1083" s="2508">
        <v>33872.410000000003</v>
      </c>
      <c r="I1083" s="1664">
        <f t="shared" si="216"/>
        <v>0.69753727347611205</v>
      </c>
    </row>
    <row r="1084" spans="1:9" ht="17.100000000000001" customHeight="1">
      <c r="A1084" s="1614"/>
      <c r="B1084" s="1890"/>
      <c r="C1084" s="2503" t="s">
        <v>820</v>
      </c>
      <c r="D1084" s="2504" t="s">
        <v>771</v>
      </c>
      <c r="E1084" s="1760">
        <f>100000+150293+33173</f>
        <v>283466</v>
      </c>
      <c r="F1084" s="1661">
        <v>74075</v>
      </c>
      <c r="G1084" s="2507">
        <f>16474+115000+82713+8075</f>
        <v>222262</v>
      </c>
      <c r="H1084" s="2508">
        <v>156444.32999999999</v>
      </c>
      <c r="I1084" s="1664">
        <f t="shared" si="216"/>
        <v>0.70387349164499546</v>
      </c>
    </row>
    <row r="1085" spans="1:9" ht="17.100000000000001" customHeight="1">
      <c r="A1085" s="1614"/>
      <c r="B1085" s="1890"/>
      <c r="C1085" s="2503" t="s">
        <v>821</v>
      </c>
      <c r="D1085" s="2504" t="s">
        <v>771</v>
      </c>
      <c r="E1085" s="1760">
        <f>26522+2486+5854</f>
        <v>34862</v>
      </c>
      <c r="F1085" s="1661">
        <v>10762</v>
      </c>
      <c r="G1085" s="2507">
        <f>2908+2940+14596+1425</f>
        <v>21869</v>
      </c>
      <c r="H1085" s="2508">
        <v>19206.78</v>
      </c>
      <c r="I1085" s="1664">
        <f t="shared" si="216"/>
        <v>0.87826512414833779</v>
      </c>
    </row>
    <row r="1086" spans="1:9" ht="17.100000000000001" customHeight="1">
      <c r="A1086" s="1614"/>
      <c r="B1086" s="1890"/>
      <c r="C1086" s="2503" t="s">
        <v>1004</v>
      </c>
      <c r="D1086" s="2504" t="s">
        <v>772</v>
      </c>
      <c r="E1086" s="1760">
        <v>4000</v>
      </c>
      <c r="F1086" s="1661">
        <v>2000</v>
      </c>
      <c r="G1086" s="2507">
        <f>2000</f>
        <v>2000</v>
      </c>
      <c r="H1086" s="2508">
        <v>0</v>
      </c>
      <c r="I1086" s="1664">
        <f t="shared" si="216"/>
        <v>0</v>
      </c>
    </row>
    <row r="1087" spans="1:9" ht="17.100000000000001" hidden="1" customHeight="1">
      <c r="A1087" s="1614"/>
      <c r="B1087" s="1890"/>
      <c r="C1087" s="2503" t="s">
        <v>1005</v>
      </c>
      <c r="D1087" s="2504" t="s">
        <v>772</v>
      </c>
      <c r="E1087" s="1760"/>
      <c r="F1087" s="1661">
        <v>0</v>
      </c>
      <c r="G1087" s="2507">
        <v>0</v>
      </c>
      <c r="H1087" s="2508">
        <v>0</v>
      </c>
      <c r="I1087" s="1664"/>
    </row>
    <row r="1088" spans="1:9" ht="17.100000000000001" hidden="1" customHeight="1">
      <c r="A1088" s="1614"/>
      <c r="B1088" s="1890"/>
      <c r="C1088" s="2503" t="s">
        <v>1006</v>
      </c>
      <c r="D1088" s="2504" t="s">
        <v>773</v>
      </c>
      <c r="E1088" s="1760">
        <v>2642</v>
      </c>
      <c r="F1088" s="1661">
        <v>0</v>
      </c>
      <c r="G1088" s="2507">
        <v>0</v>
      </c>
      <c r="H1088" s="2508">
        <v>0</v>
      </c>
      <c r="I1088" s="1664"/>
    </row>
    <row r="1089" spans="1:9" ht="17.100000000000001" customHeight="1">
      <c r="A1089" s="1614"/>
      <c r="B1089" s="1890"/>
      <c r="C1089" s="2503" t="s">
        <v>979</v>
      </c>
      <c r="D1089" s="2504" t="s">
        <v>773</v>
      </c>
      <c r="E1089" s="1760">
        <v>15300</v>
      </c>
      <c r="F1089" s="1661">
        <v>20300</v>
      </c>
      <c r="G1089" s="2507">
        <f>5000+15300</f>
        <v>20300</v>
      </c>
      <c r="H1089" s="2508">
        <v>11781.18</v>
      </c>
      <c r="I1089" s="1664">
        <f t="shared" si="216"/>
        <v>0.58035369458128083</v>
      </c>
    </row>
    <row r="1090" spans="1:9" ht="17.100000000000001" customHeight="1">
      <c r="A1090" s="1614"/>
      <c r="B1090" s="1890"/>
      <c r="C1090" s="2537" t="s">
        <v>980</v>
      </c>
      <c r="D1090" s="2538" t="s">
        <v>773</v>
      </c>
      <c r="E1090" s="1760">
        <f>2700+160</f>
        <v>2860</v>
      </c>
      <c r="F1090" s="1661">
        <v>2700</v>
      </c>
      <c r="G1090" s="2507">
        <f>2700</f>
        <v>2700</v>
      </c>
      <c r="H1090" s="2508">
        <v>2079.35</v>
      </c>
      <c r="I1090" s="1664">
        <f t="shared" si="216"/>
        <v>0.77012962962962961</v>
      </c>
    </row>
    <row r="1091" spans="1:9" ht="17.100000000000001" customHeight="1">
      <c r="A1091" s="1614"/>
      <c r="B1091" s="1890"/>
      <c r="C1091" s="1690" t="s">
        <v>822</v>
      </c>
      <c r="D1091" s="1691" t="s">
        <v>774</v>
      </c>
      <c r="E1091" s="1760">
        <v>2000</v>
      </c>
      <c r="F1091" s="1661">
        <v>1000</v>
      </c>
      <c r="G1091" s="1761">
        <f>1000</f>
        <v>1000</v>
      </c>
      <c r="H1091" s="1663">
        <v>0</v>
      </c>
      <c r="I1091" s="1664">
        <f t="shared" si="216"/>
        <v>0</v>
      </c>
    </row>
    <row r="1092" spans="1:9" ht="17.100000000000001" hidden="1" customHeight="1">
      <c r="A1092" s="1614"/>
      <c r="B1092" s="1890"/>
      <c r="C1092" s="1659" t="s">
        <v>823</v>
      </c>
      <c r="D1092" s="1660" t="s">
        <v>774</v>
      </c>
      <c r="E1092" s="1760"/>
      <c r="F1092" s="1661"/>
      <c r="G1092" s="1761"/>
      <c r="H1092" s="1663"/>
      <c r="I1092" s="1664" t="e">
        <f t="shared" si="216"/>
        <v>#DIV/0!</v>
      </c>
    </row>
    <row r="1093" spans="1:9" ht="17.100000000000001" hidden="1" customHeight="1">
      <c r="A1093" s="1614"/>
      <c r="B1093" s="1890"/>
      <c r="C1093" s="2503" t="s">
        <v>23</v>
      </c>
      <c r="D1093" s="2504" t="s">
        <v>776</v>
      </c>
      <c r="E1093" s="1760">
        <v>2469</v>
      </c>
      <c r="F1093" s="1661"/>
      <c r="G1093" s="2507"/>
      <c r="H1093" s="2508"/>
      <c r="I1093" s="1664" t="e">
        <f t="shared" si="216"/>
        <v>#DIV/0!</v>
      </c>
    </row>
    <row r="1094" spans="1:9" ht="17.100000000000001" customHeight="1" thickBot="1">
      <c r="A1094" s="1644"/>
      <c r="B1094" s="2509"/>
      <c r="C1094" s="2510" t="s">
        <v>864</v>
      </c>
      <c r="D1094" s="2511" t="s">
        <v>776</v>
      </c>
      <c r="E1094" s="2531">
        <v>53079</v>
      </c>
      <c r="F1094" s="1814">
        <v>2469539</v>
      </c>
      <c r="G1094" s="2512">
        <f>1317466+446096+11089</f>
        <v>1774651</v>
      </c>
      <c r="H1094" s="1747">
        <v>714776.73</v>
      </c>
      <c r="I1094" s="1651">
        <f t="shared" si="216"/>
        <v>0.40277030807747549</v>
      </c>
    </row>
    <row r="1095" spans="1:9" ht="17.100000000000001" customHeight="1">
      <c r="A1095" s="1614"/>
      <c r="B1095" s="1890"/>
      <c r="C1095" s="1659" t="s">
        <v>824</v>
      </c>
      <c r="D1095" s="1660" t="s">
        <v>776</v>
      </c>
      <c r="E1095" s="1760">
        <f>564154+296650+99704+42477</f>
        <v>1002985</v>
      </c>
      <c r="F1095" s="1661">
        <v>955918</v>
      </c>
      <c r="G1095" s="1761">
        <f>67254+975777+55590+251042+9562</f>
        <v>1359225</v>
      </c>
      <c r="H1095" s="1663">
        <v>544190.23</v>
      </c>
      <c r="I1095" s="1664">
        <f t="shared" si="216"/>
        <v>0.40036802589711046</v>
      </c>
    </row>
    <row r="1096" spans="1:9" ht="17.100000000000001" customHeight="1">
      <c r="A1096" s="1614"/>
      <c r="B1096" s="1890"/>
      <c r="C1096" s="2503" t="s">
        <v>825</v>
      </c>
      <c r="D1096" s="2504" t="s">
        <v>776</v>
      </c>
      <c r="E1096" s="1760">
        <f>52350+20809+7496</f>
        <v>80655</v>
      </c>
      <c r="F1096" s="1661">
        <v>366336</v>
      </c>
      <c r="G1096" s="2507">
        <f>11868+79783+83207+9810+77118+2937+670</f>
        <v>265393</v>
      </c>
      <c r="H1096" s="2508">
        <v>120839.58</v>
      </c>
      <c r="I1096" s="1664">
        <f t="shared" si="216"/>
        <v>0.45532316225371433</v>
      </c>
    </row>
    <row r="1097" spans="1:9" ht="17.100000000000001" customHeight="1">
      <c r="A1097" s="1614"/>
      <c r="B1097" s="1890"/>
      <c r="C1097" s="2503" t="s">
        <v>1007</v>
      </c>
      <c r="D1097" s="2504" t="s">
        <v>777</v>
      </c>
      <c r="E1097" s="1760">
        <v>6031</v>
      </c>
      <c r="F1097" s="1661">
        <v>0</v>
      </c>
      <c r="G1097" s="2507">
        <v>0</v>
      </c>
      <c r="H1097" s="2508">
        <v>0</v>
      </c>
      <c r="I1097" s="1664"/>
    </row>
    <row r="1098" spans="1:9" ht="17.100000000000001" customHeight="1">
      <c r="A1098" s="1614"/>
      <c r="B1098" s="1890"/>
      <c r="C1098" s="2503" t="s">
        <v>983</v>
      </c>
      <c r="D1098" s="2504" t="s">
        <v>777</v>
      </c>
      <c r="E1098" s="1760">
        <f>3000+6800</f>
        <v>9800</v>
      </c>
      <c r="F1098" s="1661">
        <v>4700</v>
      </c>
      <c r="G1098" s="2507">
        <f>13000+935</f>
        <v>13935</v>
      </c>
      <c r="H1098" s="2508">
        <v>4105.4399999999996</v>
      </c>
      <c r="I1098" s="1664">
        <f t="shared" si="216"/>
        <v>0.29461356297093644</v>
      </c>
    </row>
    <row r="1099" spans="1:9" ht="17.100000000000001" customHeight="1">
      <c r="A1099" s="1614"/>
      <c r="B1099" s="1890"/>
      <c r="C1099" s="2503" t="s">
        <v>1008</v>
      </c>
      <c r="D1099" s="2504" t="s">
        <v>777</v>
      </c>
      <c r="E1099" s="1760">
        <f>1200+365</f>
        <v>1565</v>
      </c>
      <c r="F1099" s="1661">
        <v>300</v>
      </c>
      <c r="G1099" s="2507">
        <f>165</f>
        <v>165</v>
      </c>
      <c r="H1099" s="2508">
        <v>86.4</v>
      </c>
      <c r="I1099" s="1664">
        <f t="shared" si="216"/>
        <v>0.52363636363636368</v>
      </c>
    </row>
    <row r="1100" spans="1:9" ht="17.100000000000001" customHeight="1">
      <c r="A1100" s="1614"/>
      <c r="B1100" s="1890"/>
      <c r="C1100" s="2503" t="s">
        <v>918</v>
      </c>
      <c r="D1100" s="2504" t="s">
        <v>917</v>
      </c>
      <c r="E1100" s="1760">
        <f>11000+4250+850</f>
        <v>16100</v>
      </c>
      <c r="F1100" s="1661">
        <v>3850</v>
      </c>
      <c r="G1100" s="2507">
        <f>425+3000</f>
        <v>3425</v>
      </c>
      <c r="H1100" s="2508">
        <v>2440</v>
      </c>
      <c r="I1100" s="1664">
        <f t="shared" si="216"/>
        <v>0.71240875912408763</v>
      </c>
    </row>
    <row r="1101" spans="1:9" ht="17.100000000000001" customHeight="1">
      <c r="A1101" s="1614"/>
      <c r="B1101" s="1890"/>
      <c r="C1101" s="2503" t="s">
        <v>919</v>
      </c>
      <c r="D1101" s="2504" t="s">
        <v>917</v>
      </c>
      <c r="E1101" s="1760">
        <f>750+150</f>
        <v>900</v>
      </c>
      <c r="F1101" s="1661">
        <v>150</v>
      </c>
      <c r="G1101" s="2507">
        <f>75</f>
        <v>75</v>
      </c>
      <c r="H1101" s="2508">
        <v>0</v>
      </c>
      <c r="I1101" s="1664">
        <f t="shared" ref="I1101:I1175" si="222">H1101/G1101</f>
        <v>0</v>
      </c>
    </row>
    <row r="1102" spans="1:9" ht="17.100000000000001" hidden="1" customHeight="1">
      <c r="A1102" s="1614"/>
      <c r="B1102" s="1890"/>
      <c r="C1102" s="2503" t="s">
        <v>865</v>
      </c>
      <c r="D1102" s="2504" t="s">
        <v>778</v>
      </c>
      <c r="E1102" s="1760">
        <v>71327</v>
      </c>
      <c r="F1102" s="1661">
        <v>0</v>
      </c>
      <c r="G1102" s="2507">
        <v>0</v>
      </c>
      <c r="H1102" s="2508">
        <v>0</v>
      </c>
      <c r="I1102" s="1664"/>
    </row>
    <row r="1103" spans="1:9" ht="17.100000000000001" hidden="1" customHeight="1">
      <c r="A1103" s="1614"/>
      <c r="B1103" s="1890"/>
      <c r="C1103" s="2513" t="s">
        <v>826</v>
      </c>
      <c r="D1103" s="2514" t="s">
        <v>778</v>
      </c>
      <c r="E1103" s="2134">
        <v>616973</v>
      </c>
      <c r="F1103" s="1668"/>
      <c r="G1103" s="2539"/>
      <c r="H1103" s="2540"/>
      <c r="I1103" s="1725"/>
    </row>
    <row r="1104" spans="1:9" ht="17.100000000000001" hidden="1" customHeight="1">
      <c r="A1104" s="1638"/>
      <c r="B1104" s="1890"/>
      <c r="C1104" s="2541" t="s">
        <v>827</v>
      </c>
      <c r="D1104" s="2542" t="s">
        <v>778</v>
      </c>
      <c r="E1104" s="2505">
        <v>113197</v>
      </c>
      <c r="F1104" s="2506">
        <v>0</v>
      </c>
      <c r="G1104" s="2507">
        <v>0</v>
      </c>
      <c r="H1104" s="2508">
        <v>0</v>
      </c>
      <c r="I1104" s="2525"/>
    </row>
    <row r="1105" spans="1:9" ht="27.75" customHeight="1">
      <c r="A1105" s="1638"/>
      <c r="B1105" s="1890"/>
      <c r="C1105" s="1659" t="s">
        <v>985</v>
      </c>
      <c r="D1105" s="1660" t="s">
        <v>780</v>
      </c>
      <c r="E1105" s="1760">
        <f>6000+17000</f>
        <v>23000</v>
      </c>
      <c r="F1105" s="1661">
        <v>12750</v>
      </c>
      <c r="G1105" s="1761">
        <f>12750</f>
        <v>12750</v>
      </c>
      <c r="H1105" s="1663">
        <v>10611.42</v>
      </c>
      <c r="I1105" s="1664">
        <f t="shared" si="222"/>
        <v>0.83226823529411764</v>
      </c>
    </row>
    <row r="1106" spans="1:9" ht="28.5" customHeight="1">
      <c r="A1106" s="1614"/>
      <c r="B1106" s="1890"/>
      <c r="C1106" s="2503" t="s">
        <v>986</v>
      </c>
      <c r="D1106" s="2504" t="s">
        <v>780</v>
      </c>
      <c r="E1106" s="1760">
        <v>3000</v>
      </c>
      <c r="F1106" s="1661">
        <v>2250</v>
      </c>
      <c r="G1106" s="2507">
        <f>2250</f>
        <v>2250</v>
      </c>
      <c r="H1106" s="2508">
        <v>1872.66</v>
      </c>
      <c r="I1106" s="1664">
        <f t="shared" si="222"/>
        <v>0.83229333333333333</v>
      </c>
    </row>
    <row r="1107" spans="1:9" ht="16.5" customHeight="1">
      <c r="A1107" s="1614"/>
      <c r="B1107" s="1890"/>
      <c r="C1107" s="2537" t="s">
        <v>866</v>
      </c>
      <c r="D1107" s="2538" t="s">
        <v>781</v>
      </c>
      <c r="E1107" s="1760">
        <v>4020</v>
      </c>
      <c r="F1107" s="1661">
        <v>19405</v>
      </c>
      <c r="G1107" s="2507">
        <f>821+17667+917</f>
        <v>19405</v>
      </c>
      <c r="H1107" s="2508">
        <v>1644.08</v>
      </c>
      <c r="I1107" s="1664">
        <f t="shared" si="222"/>
        <v>8.4724555526926051E-2</v>
      </c>
    </row>
    <row r="1108" spans="1:9" ht="17.100000000000001" customHeight="1">
      <c r="A1108" s="1614"/>
      <c r="B1108" s="1890"/>
      <c r="C1108" s="1659" t="s">
        <v>828</v>
      </c>
      <c r="D1108" s="1660" t="s">
        <v>781</v>
      </c>
      <c r="E1108" s="1760">
        <f>10000+9932+3400</f>
        <v>23332</v>
      </c>
      <c r="F1108" s="1661">
        <v>19982</v>
      </c>
      <c r="G1108" s="1761">
        <f>510+4000+4250+3825</f>
        <v>12585</v>
      </c>
      <c r="H1108" s="1663">
        <v>6983.19</v>
      </c>
      <c r="I1108" s="1664">
        <f t="shared" si="222"/>
        <v>0.55488200238379015</v>
      </c>
    </row>
    <row r="1109" spans="1:9" ht="17.100000000000001" customHeight="1">
      <c r="A1109" s="1614"/>
      <c r="B1109" s="1890"/>
      <c r="C1109" s="2503" t="s">
        <v>829</v>
      </c>
      <c r="D1109" s="2504" t="s">
        <v>781</v>
      </c>
      <c r="E1109" s="1760">
        <f>1753+244+600</f>
        <v>2597</v>
      </c>
      <c r="F1109" s="1661">
        <v>6754</v>
      </c>
      <c r="G1109" s="2507">
        <f>90+50+3295+750+1175+56</f>
        <v>5416</v>
      </c>
      <c r="H1109" s="2508">
        <v>1244.68</v>
      </c>
      <c r="I1109" s="1664">
        <f t="shared" si="222"/>
        <v>0.22981536189069426</v>
      </c>
    </row>
    <row r="1110" spans="1:9" ht="17.100000000000001" customHeight="1">
      <c r="A1110" s="1614"/>
      <c r="B1110" s="1890"/>
      <c r="C1110" s="2503" t="s">
        <v>920</v>
      </c>
      <c r="D1110" s="2504" t="s">
        <v>900</v>
      </c>
      <c r="E1110" s="1760">
        <f>15260+2550</f>
        <v>17810</v>
      </c>
      <c r="F1110" s="1661">
        <v>8550</v>
      </c>
      <c r="G1110" s="2507">
        <f>6000</f>
        <v>6000</v>
      </c>
      <c r="H1110" s="2508">
        <v>227.28</v>
      </c>
      <c r="I1110" s="1664">
        <f t="shared" si="222"/>
        <v>3.7879999999999997E-2</v>
      </c>
    </row>
    <row r="1111" spans="1:9" ht="17.100000000000001" customHeight="1">
      <c r="A1111" s="1614"/>
      <c r="B1111" s="1890"/>
      <c r="C1111" s="2503" t="s">
        <v>921</v>
      </c>
      <c r="D1111" s="2504" t="s">
        <v>900</v>
      </c>
      <c r="E1111" s="1760">
        <v>450</v>
      </c>
      <c r="F1111" s="1661">
        <v>450</v>
      </c>
      <c r="G1111" s="2507">
        <v>0</v>
      </c>
      <c r="H1111" s="2508">
        <v>0</v>
      </c>
      <c r="I1111" s="1664"/>
    </row>
    <row r="1112" spans="1:9" ht="17.100000000000001" hidden="1" customHeight="1">
      <c r="A1112" s="1614"/>
      <c r="B1112" s="1890"/>
      <c r="C1112" s="2503" t="s">
        <v>1009</v>
      </c>
      <c r="D1112" s="2504" t="s">
        <v>782</v>
      </c>
      <c r="E1112" s="1760">
        <v>2642</v>
      </c>
      <c r="F1112" s="1661">
        <v>0</v>
      </c>
      <c r="G1112" s="2507">
        <v>0</v>
      </c>
      <c r="H1112" s="2508">
        <v>0</v>
      </c>
      <c r="I1112" s="1664"/>
    </row>
    <row r="1113" spans="1:9" ht="17.100000000000001" hidden="1" customHeight="1">
      <c r="A1113" s="1614"/>
      <c r="B1113" s="1890"/>
      <c r="C1113" s="2537" t="s">
        <v>831</v>
      </c>
      <c r="D1113" s="2538" t="s">
        <v>782</v>
      </c>
      <c r="E1113" s="1760">
        <v>160</v>
      </c>
      <c r="F1113" s="1661">
        <v>0</v>
      </c>
      <c r="G1113" s="2507">
        <v>0</v>
      </c>
      <c r="H1113" s="2508">
        <v>0</v>
      </c>
      <c r="I1113" s="1664"/>
    </row>
    <row r="1114" spans="1:9" ht="17.100000000000001" customHeight="1">
      <c r="A1114" s="1614"/>
      <c r="B1114" s="1890"/>
      <c r="C1114" s="1659" t="s">
        <v>987</v>
      </c>
      <c r="D1114" s="1660" t="s">
        <v>787</v>
      </c>
      <c r="E1114" s="1760">
        <v>1275</v>
      </c>
      <c r="F1114" s="1661">
        <v>7250</v>
      </c>
      <c r="G1114" s="1761">
        <f>3000+425</f>
        <v>3425</v>
      </c>
      <c r="H1114" s="1663">
        <v>198.05</v>
      </c>
      <c r="I1114" s="1664">
        <f t="shared" si="222"/>
        <v>5.7824817518248181E-2</v>
      </c>
    </row>
    <row r="1115" spans="1:9" ht="15" customHeight="1">
      <c r="A1115" s="1614"/>
      <c r="B1115" s="1890"/>
      <c r="C1115" s="2513" t="s">
        <v>988</v>
      </c>
      <c r="D1115" s="2504" t="s">
        <v>787</v>
      </c>
      <c r="E1115" s="1760">
        <v>225</v>
      </c>
      <c r="F1115" s="1661">
        <v>750</v>
      </c>
      <c r="G1115" s="2507">
        <f>75</f>
        <v>75</v>
      </c>
      <c r="H1115" s="2508">
        <v>34.950000000000003</v>
      </c>
      <c r="I1115" s="1664">
        <f t="shared" si="222"/>
        <v>0.46600000000000003</v>
      </c>
    </row>
    <row r="1116" spans="1:9" ht="56.25" customHeight="1">
      <c r="A1116" s="1614"/>
      <c r="B1116" s="1890"/>
      <c r="C1116" s="2543" t="s">
        <v>832</v>
      </c>
      <c r="D1116" s="2515" t="s">
        <v>833</v>
      </c>
      <c r="E1116" s="1760"/>
      <c r="F1116" s="1661">
        <v>0</v>
      </c>
      <c r="G1116" s="2507">
        <f>115+4666</f>
        <v>4781</v>
      </c>
      <c r="H1116" s="2508">
        <v>4777</v>
      </c>
      <c r="I1116" s="1664">
        <f t="shared" si="222"/>
        <v>0.99916335494666386</v>
      </c>
    </row>
    <row r="1117" spans="1:9" ht="25.5">
      <c r="A1117" s="1614"/>
      <c r="B1117" s="1890"/>
      <c r="C1117" s="2544" t="s">
        <v>867</v>
      </c>
      <c r="D1117" s="2515" t="s">
        <v>994</v>
      </c>
      <c r="E1117" s="1760">
        <f>9000+93500</f>
        <v>102500</v>
      </c>
      <c r="F1117" s="1661">
        <v>14165</v>
      </c>
      <c r="G1117" s="2507">
        <f>5799+5799</f>
        <v>11598</v>
      </c>
      <c r="H1117" s="2508">
        <v>2074.38</v>
      </c>
      <c r="I1117" s="1664">
        <f t="shared" si="222"/>
        <v>0.17885669943093638</v>
      </c>
    </row>
    <row r="1118" spans="1:9" ht="28.5" customHeight="1">
      <c r="A1118" s="1614"/>
      <c r="B1118" s="1890"/>
      <c r="C1118" s="2544" t="s">
        <v>834</v>
      </c>
      <c r="D1118" s="2545" t="s">
        <v>994</v>
      </c>
      <c r="E1118" s="1760">
        <f>9000+93500</f>
        <v>102500</v>
      </c>
      <c r="F1118" s="1661">
        <v>62582</v>
      </c>
      <c r="G1118" s="2507">
        <f>850+50000+22100+3825</f>
        <v>76775</v>
      </c>
      <c r="H1118" s="2508">
        <v>18177.080000000002</v>
      </c>
      <c r="I1118" s="1664">
        <f t="shared" si="222"/>
        <v>0.23675779876261807</v>
      </c>
    </row>
    <row r="1119" spans="1:9" ht="28.5" customHeight="1" thickBot="1">
      <c r="A1119" s="1644"/>
      <c r="B1119" s="2509"/>
      <c r="C1119" s="2546" t="s">
        <v>835</v>
      </c>
      <c r="D1119" s="2547" t="s">
        <v>994</v>
      </c>
      <c r="E1119" s="2531">
        <v>16500</v>
      </c>
      <c r="F1119" s="1814">
        <v>3609</v>
      </c>
      <c r="G1119" s="2512">
        <f>150+351+3900+1175+351</f>
        <v>5927</v>
      </c>
      <c r="H1119" s="1747">
        <v>3329.64</v>
      </c>
      <c r="I1119" s="1651">
        <f t="shared" si="222"/>
        <v>0.56177492829424669</v>
      </c>
    </row>
    <row r="1120" spans="1:9" ht="28.5" customHeight="1">
      <c r="A1120" s="1614"/>
      <c r="B1120" s="1890"/>
      <c r="C1120" s="2548" t="s">
        <v>868</v>
      </c>
      <c r="D1120" s="2122" t="s">
        <v>768</v>
      </c>
      <c r="E1120" s="1760"/>
      <c r="F1120" s="1661">
        <v>0</v>
      </c>
      <c r="G1120" s="1761">
        <f>25+76</f>
        <v>101</v>
      </c>
      <c r="H1120" s="1663">
        <v>99.89</v>
      </c>
      <c r="I1120" s="1664">
        <f t="shared" si="222"/>
        <v>0.989009900990099</v>
      </c>
    </row>
    <row r="1121" spans="1:9" ht="28.5" customHeight="1">
      <c r="A1121" s="1614"/>
      <c r="B1121" s="1890"/>
      <c r="C1121" s="2544" t="s">
        <v>836</v>
      </c>
      <c r="D1121" s="2549" t="s">
        <v>768</v>
      </c>
      <c r="E1121" s="1760"/>
      <c r="F1121" s="1661">
        <v>3000</v>
      </c>
      <c r="G1121" s="2507">
        <f>2500+6309+83+42+42+69</f>
        <v>9045</v>
      </c>
      <c r="H1121" s="2508">
        <v>7042.61</v>
      </c>
      <c r="I1121" s="1664">
        <f t="shared" si="222"/>
        <v>0.77861912658927579</v>
      </c>
    </row>
    <row r="1122" spans="1:9" ht="26.25" customHeight="1">
      <c r="A1122" s="1638"/>
      <c r="B1122" s="1890"/>
      <c r="C1122" s="2544" t="s">
        <v>837</v>
      </c>
      <c r="D1122" s="2549" t="s">
        <v>768</v>
      </c>
      <c r="E1122" s="1760"/>
      <c r="F1122" s="1661">
        <v>0</v>
      </c>
      <c r="G1122" s="2507">
        <f>2+15+1114+26+14+14+22</f>
        <v>1207</v>
      </c>
      <c r="H1122" s="2508">
        <v>1172.6400000000001</v>
      </c>
      <c r="I1122" s="1664">
        <f t="shared" si="222"/>
        <v>0.97153272576636296</v>
      </c>
    </row>
    <row r="1123" spans="1:9" ht="17.100000000000001" customHeight="1">
      <c r="A1123" s="1638"/>
      <c r="B1123" s="1890"/>
      <c r="C1123" s="2550"/>
      <c r="D1123" s="2551"/>
      <c r="E1123" s="2552"/>
      <c r="F1123" s="2553"/>
      <c r="G1123" s="2507"/>
      <c r="H1123" s="2508"/>
      <c r="I1123" s="1664"/>
    </row>
    <row r="1124" spans="1:9" ht="17.100000000000001" customHeight="1">
      <c r="A1124" s="1638"/>
      <c r="B1124" s="1890"/>
      <c r="C1124" s="4899" t="s">
        <v>793</v>
      </c>
      <c r="D1124" s="4900"/>
      <c r="E1124" s="2554">
        <f>E1125+E1141</f>
        <v>2322089</v>
      </c>
      <c r="F1124" s="2436">
        <f>F1125+F1141</f>
        <v>39242089</v>
      </c>
      <c r="G1124" s="2436">
        <f>G1125+G1141</f>
        <v>5520842</v>
      </c>
      <c r="H1124" s="2555">
        <f>H1125+H1141</f>
        <v>2930507.4999999995</v>
      </c>
      <c r="I1124" s="1672">
        <f t="shared" si="222"/>
        <v>0.53080807239185612</v>
      </c>
    </row>
    <row r="1125" spans="1:9" ht="17.100000000000001" customHeight="1">
      <c r="A1125" s="1638"/>
      <c r="B1125" s="1890"/>
      <c r="C1125" s="4846" t="s">
        <v>794</v>
      </c>
      <c r="D1125" s="4901"/>
      <c r="E1125" s="2556">
        <f>SUM(E1126:E1138)</f>
        <v>2322089</v>
      </c>
      <c r="F1125" s="2557">
        <f>SUM(F1126:F1139)</f>
        <v>39242089</v>
      </c>
      <c r="G1125" s="2557">
        <f>SUM(G1126:G1139)</f>
        <v>5520842</v>
      </c>
      <c r="H1125" s="2558">
        <f>SUM(H1126:H1139)</f>
        <v>2930507.4999999995</v>
      </c>
      <c r="I1125" s="1664">
        <f t="shared" si="222"/>
        <v>0.53080807239185612</v>
      </c>
    </row>
    <row r="1126" spans="1:9" ht="17.100000000000001" customHeight="1">
      <c r="A1126" s="4716"/>
      <c r="B1126" s="4876"/>
      <c r="C1126" s="2541" t="s">
        <v>89</v>
      </c>
      <c r="D1126" s="2542" t="s">
        <v>795</v>
      </c>
      <c r="E1126" s="2556">
        <v>250000</v>
      </c>
      <c r="F1126" s="2557">
        <v>250000</v>
      </c>
      <c r="G1126" s="2507">
        <v>1525305</v>
      </c>
      <c r="H1126" s="2508">
        <v>178600</v>
      </c>
      <c r="I1126" s="2525">
        <f>H1126/G1126</f>
        <v>0.11709133583119442</v>
      </c>
    </row>
    <row r="1127" spans="1:9" ht="17.100000000000001" customHeight="1">
      <c r="A1127" s="4716"/>
      <c r="B1127" s="4876"/>
      <c r="C1127" s="1659" t="s">
        <v>904</v>
      </c>
      <c r="D1127" s="1660" t="s">
        <v>795</v>
      </c>
      <c r="E1127" s="2559"/>
      <c r="F1127" s="2254">
        <v>30951582</v>
      </c>
      <c r="G1127" s="1761">
        <v>1889929</v>
      </c>
      <c r="H1127" s="1663">
        <v>1088898.69</v>
      </c>
      <c r="I1127" s="1664">
        <f t="shared" ref="I1127:I1128" si="223">H1127/G1127</f>
        <v>0.57615851706598498</v>
      </c>
    </row>
    <row r="1128" spans="1:9" ht="17.100000000000001" customHeight="1">
      <c r="A1128" s="1638"/>
      <c r="B1128" s="1890"/>
      <c r="C1128" s="2503" t="s">
        <v>892</v>
      </c>
      <c r="D1128" s="2504" t="s">
        <v>795</v>
      </c>
      <c r="E1128" s="2560"/>
      <c r="F1128" s="2561">
        <v>5602380</v>
      </c>
      <c r="G1128" s="2562">
        <v>473853</v>
      </c>
      <c r="H1128" s="2563">
        <v>211838.61</v>
      </c>
      <c r="I1128" s="1769">
        <f t="shared" si="223"/>
        <v>0.44705554254167429</v>
      </c>
    </row>
    <row r="1129" spans="1:9" ht="12.75" customHeight="1">
      <c r="A1129" s="1638"/>
      <c r="B1129" s="1890"/>
      <c r="C1129" s="2503" t="s">
        <v>869</v>
      </c>
      <c r="D1129" s="2504" t="s">
        <v>842</v>
      </c>
      <c r="E1129" s="2560">
        <v>128298</v>
      </c>
      <c r="F1129" s="2561">
        <v>122780</v>
      </c>
      <c r="G1129" s="2562">
        <v>91498</v>
      </c>
      <c r="H1129" s="2563">
        <v>90234.71</v>
      </c>
      <c r="I1129" s="1769">
        <f t="shared" si="222"/>
        <v>0.98619325012568593</v>
      </c>
    </row>
    <row r="1130" spans="1:9" ht="12.75" hidden="1" customHeight="1">
      <c r="A1130" s="1638"/>
      <c r="B1130" s="1890"/>
      <c r="C1130" s="2503" t="s">
        <v>905</v>
      </c>
      <c r="D1130" s="2504" t="s">
        <v>842</v>
      </c>
      <c r="E1130" s="2560">
        <v>14000</v>
      </c>
      <c r="F1130" s="2561">
        <v>0</v>
      </c>
      <c r="G1130" s="2562">
        <v>0</v>
      </c>
      <c r="H1130" s="2563">
        <v>0</v>
      </c>
      <c r="I1130" s="1769" t="e">
        <f t="shared" si="222"/>
        <v>#DIV/0!</v>
      </c>
    </row>
    <row r="1131" spans="1:9" ht="15">
      <c r="A1131" s="1638"/>
      <c r="B1131" s="1898"/>
      <c r="C1131" s="2503" t="s">
        <v>890</v>
      </c>
      <c r="D1131" s="2504" t="s">
        <v>842</v>
      </c>
      <c r="E1131" s="2560">
        <v>7770</v>
      </c>
      <c r="F1131" s="2561">
        <v>7436</v>
      </c>
      <c r="G1131" s="2562">
        <v>5541</v>
      </c>
      <c r="H1131" s="2563">
        <v>5464.43</v>
      </c>
      <c r="I1131" s="1769">
        <f t="shared" si="222"/>
        <v>0.98618119473019317</v>
      </c>
    </row>
    <row r="1132" spans="1:9" ht="51">
      <c r="A1132" s="1638"/>
      <c r="B1132" s="1898"/>
      <c r="C1132" s="2503" t="s">
        <v>870</v>
      </c>
      <c r="D1132" s="2564" t="s">
        <v>877</v>
      </c>
      <c r="E1132" s="2560">
        <v>64149</v>
      </c>
      <c r="F1132" s="2561">
        <v>356393</v>
      </c>
      <c r="G1132" s="2562">
        <v>122151</v>
      </c>
      <c r="H1132" s="2563">
        <v>113311.66</v>
      </c>
      <c r="I1132" s="1769">
        <f t="shared" si="222"/>
        <v>0.92763595877233918</v>
      </c>
    </row>
    <row r="1133" spans="1:9" ht="51">
      <c r="A1133" s="1638"/>
      <c r="B1133" s="1898"/>
      <c r="C1133" s="2503" t="s">
        <v>450</v>
      </c>
      <c r="D1133" s="2122" t="s">
        <v>877</v>
      </c>
      <c r="E1133" s="2560"/>
      <c r="F1133" s="2561">
        <v>119925</v>
      </c>
      <c r="G1133" s="2562">
        <v>119925</v>
      </c>
      <c r="H1133" s="2563">
        <v>0</v>
      </c>
      <c r="I1133" s="1769">
        <f t="shared" si="222"/>
        <v>0</v>
      </c>
    </row>
    <row r="1134" spans="1:9" ht="51">
      <c r="A1134" s="1638"/>
      <c r="B1134" s="1898"/>
      <c r="C1134" s="2503" t="s">
        <v>872</v>
      </c>
      <c r="D1134" s="2565" t="s">
        <v>877</v>
      </c>
      <c r="E1134" s="2566">
        <f>3885+20000</f>
        <v>23885</v>
      </c>
      <c r="F1134" s="2557">
        <v>42745</v>
      </c>
      <c r="G1134" s="2507">
        <v>28560</v>
      </c>
      <c r="H1134" s="2508">
        <v>6861.91</v>
      </c>
      <c r="I1134" s="1769">
        <f t="shared" si="222"/>
        <v>0.24026295518207283</v>
      </c>
    </row>
    <row r="1135" spans="1:9" ht="51">
      <c r="A1135" s="1638"/>
      <c r="B1135" s="1898"/>
      <c r="C1135" s="2537" t="s">
        <v>894</v>
      </c>
      <c r="D1135" s="2567" t="s">
        <v>874</v>
      </c>
      <c r="E1135" s="2560">
        <v>833946</v>
      </c>
      <c r="F1135" s="2561">
        <v>798071</v>
      </c>
      <c r="G1135" s="2562">
        <v>586526</v>
      </c>
      <c r="H1135" s="2563">
        <v>586525.68000000005</v>
      </c>
      <c r="I1135" s="1769">
        <f t="shared" si="222"/>
        <v>0.99999945441463811</v>
      </c>
    </row>
    <row r="1136" spans="1:9" ht="66" customHeight="1" thickBot="1">
      <c r="A1136" s="2271"/>
      <c r="B1136" s="1899"/>
      <c r="C1136" s="2110" t="s">
        <v>873</v>
      </c>
      <c r="D1136" s="2568" t="s">
        <v>874</v>
      </c>
      <c r="E1136" s="2569">
        <f>50502+949539</f>
        <v>1000041</v>
      </c>
      <c r="F1136" s="2017">
        <v>987776</v>
      </c>
      <c r="G1136" s="2512">
        <v>615908</v>
      </c>
      <c r="H1136" s="1747">
        <v>590128.06000000006</v>
      </c>
      <c r="I1136" s="1651">
        <f t="shared" si="222"/>
        <v>0.95814319671119719</v>
      </c>
    </row>
    <row r="1137" spans="1:9" ht="52.5" customHeight="1">
      <c r="A1137" s="1638"/>
      <c r="B1137" s="1898"/>
      <c r="C1137" s="2570" t="s">
        <v>875</v>
      </c>
      <c r="D1137" s="2571" t="s">
        <v>800</v>
      </c>
      <c r="E1137" s="2572"/>
      <c r="F1137" s="2557">
        <v>0</v>
      </c>
      <c r="G1137" s="2507">
        <v>2</v>
      </c>
      <c r="H1137" s="2508">
        <v>1.61</v>
      </c>
      <c r="I1137" s="1664">
        <f t="shared" si="222"/>
        <v>0.80500000000000005</v>
      </c>
    </row>
    <row r="1138" spans="1:9" ht="25.5">
      <c r="A1138" s="1638"/>
      <c r="B1138" s="1898"/>
      <c r="C1138" s="2573" t="s">
        <v>1010</v>
      </c>
      <c r="D1138" s="2574" t="s">
        <v>967</v>
      </c>
      <c r="E1138" s="2556"/>
      <c r="F1138" s="2557">
        <v>3001</v>
      </c>
      <c r="G1138" s="2507">
        <v>3001</v>
      </c>
      <c r="H1138" s="2508">
        <v>0</v>
      </c>
      <c r="I1138" s="1664">
        <f t="shared" si="222"/>
        <v>0</v>
      </c>
    </row>
    <row r="1139" spans="1:9" ht="25.5">
      <c r="A1139" s="1638"/>
      <c r="B1139" s="1898"/>
      <c r="C1139" s="2012" t="s">
        <v>636</v>
      </c>
      <c r="D1139" s="2574" t="s">
        <v>967</v>
      </c>
      <c r="E1139" s="2556"/>
      <c r="F1139" s="2557">
        <v>0</v>
      </c>
      <c r="G1139" s="2507">
        <v>58643</v>
      </c>
      <c r="H1139" s="2508">
        <v>58642.14</v>
      </c>
      <c r="I1139" s="1664">
        <f t="shared" si="222"/>
        <v>0.99998533499309383</v>
      </c>
    </row>
    <row r="1140" spans="1:9" ht="15" customHeight="1">
      <c r="A1140" s="4716"/>
      <c r="B1140" s="4876"/>
      <c r="C1140" s="4852"/>
      <c r="D1140" s="4890"/>
      <c r="E1140" s="2556"/>
      <c r="F1140" s="2557"/>
      <c r="G1140" s="2507"/>
      <c r="H1140" s="2508"/>
      <c r="I1140" s="2525"/>
    </row>
    <row r="1141" spans="1:9" ht="17.25" hidden="1" customHeight="1">
      <c r="A1141" s="4716"/>
      <c r="B1141" s="4876"/>
      <c r="C1141" s="4622" t="s">
        <v>910</v>
      </c>
      <c r="D1141" s="4891"/>
      <c r="E1141" s="2559">
        <f>E1142</f>
        <v>0</v>
      </c>
      <c r="F1141" s="2254">
        <f t="shared" ref="F1141:H1141" si="224">F1142</f>
        <v>0</v>
      </c>
      <c r="G1141" s="2254">
        <f t="shared" si="224"/>
        <v>0</v>
      </c>
      <c r="H1141" s="2575">
        <f t="shared" si="224"/>
        <v>0</v>
      </c>
      <c r="I1141" s="1664" t="e">
        <f t="shared" si="222"/>
        <v>#DIV/0!</v>
      </c>
    </row>
    <row r="1142" spans="1:9" ht="45" hidden="1" customHeight="1">
      <c r="A1142" s="4716"/>
      <c r="B1142" s="4876"/>
      <c r="C1142" s="2543" t="s">
        <v>911</v>
      </c>
      <c r="D1142" s="2576" t="s">
        <v>912</v>
      </c>
      <c r="E1142" s="2577"/>
      <c r="F1142" s="2578">
        <v>0</v>
      </c>
      <c r="G1142" s="2579">
        <v>0</v>
      </c>
      <c r="H1142" s="2580">
        <v>0</v>
      </c>
      <c r="I1142" s="1664" t="e">
        <f t="shared" si="222"/>
        <v>#DIV/0!</v>
      </c>
    </row>
    <row r="1143" spans="1:9" ht="15" hidden="1" customHeight="1">
      <c r="A1143" s="4716"/>
      <c r="B1143" s="4876"/>
      <c r="C1143" s="2089"/>
      <c r="D1143" s="1905"/>
      <c r="E1143" s="1760"/>
      <c r="F1143" s="1661"/>
      <c r="G1143" s="2579"/>
      <c r="H1143" s="2580"/>
      <c r="I1143" s="1664"/>
    </row>
    <row r="1144" spans="1:9" ht="15">
      <c r="A1144" s="4716"/>
      <c r="B1144" s="4876"/>
      <c r="C1144" s="4892" t="s">
        <v>801</v>
      </c>
      <c r="D1144" s="4893"/>
      <c r="E1144" s="1943">
        <f>SUM(E1146:E1156)</f>
        <v>1088550</v>
      </c>
      <c r="F1144" s="1942">
        <f>SUM(F1145:F1156)</f>
        <v>38052643</v>
      </c>
      <c r="G1144" s="1942">
        <f>SUM(G1145:G1156)</f>
        <v>4631808</v>
      </c>
      <c r="H1144" s="1944">
        <f>SUM(H1145:H1156)</f>
        <v>2138654.4199999995</v>
      </c>
      <c r="I1144" s="2047">
        <f t="shared" si="222"/>
        <v>0.46173209683993799</v>
      </c>
    </row>
    <row r="1145" spans="1:9" ht="15">
      <c r="A1145" s="2492"/>
      <c r="B1145" s="1898"/>
      <c r="C1145" s="2581" t="s">
        <v>89</v>
      </c>
      <c r="D1145" s="2582" t="s">
        <v>795</v>
      </c>
      <c r="E1145" s="1768"/>
      <c r="F1145" s="1661">
        <v>0</v>
      </c>
      <c r="G1145" s="1768">
        <f>1275305</f>
        <v>1275305</v>
      </c>
      <c r="H1145" s="1663">
        <v>0</v>
      </c>
      <c r="I1145" s="2047">
        <f t="shared" si="222"/>
        <v>0</v>
      </c>
    </row>
    <row r="1146" spans="1:9" ht="15">
      <c r="A1146" s="1614"/>
      <c r="B1146" s="1898"/>
      <c r="C1146" s="2583" t="s">
        <v>904</v>
      </c>
      <c r="D1146" s="1660" t="s">
        <v>795</v>
      </c>
      <c r="E1146" s="2584">
        <v>128298</v>
      </c>
      <c r="F1146" s="2585">
        <v>30951582</v>
      </c>
      <c r="G1146" s="2579">
        <f>938347+951582</f>
        <v>1889929</v>
      </c>
      <c r="H1146" s="1663">
        <v>1088898.69</v>
      </c>
      <c r="I1146" s="2047">
        <f t="shared" si="222"/>
        <v>0.57615851706598498</v>
      </c>
    </row>
    <row r="1147" spans="1:9" ht="15">
      <c r="A1147" s="1614"/>
      <c r="B1147" s="1898"/>
      <c r="C1147" s="2036" t="s">
        <v>892</v>
      </c>
      <c r="D1147" s="2586" t="s">
        <v>795</v>
      </c>
      <c r="E1147" s="2584"/>
      <c r="F1147" s="2587">
        <v>5602380</v>
      </c>
      <c r="G1147" s="2588">
        <f>165591+308262</f>
        <v>473853</v>
      </c>
      <c r="H1147" s="1663">
        <v>211838.61</v>
      </c>
      <c r="I1147" s="1783">
        <f t="shared" si="222"/>
        <v>0.44705554254167429</v>
      </c>
    </row>
    <row r="1148" spans="1:9" ht="15">
      <c r="A1148" s="1614"/>
      <c r="B1148" s="1898"/>
      <c r="C1148" s="2583" t="s">
        <v>869</v>
      </c>
      <c r="D1148" s="2589" t="s">
        <v>842</v>
      </c>
      <c r="E1148" s="2584"/>
      <c r="F1148" s="2590">
        <v>122780</v>
      </c>
      <c r="G1148" s="2591">
        <f>46380+45118</f>
        <v>91498</v>
      </c>
      <c r="H1148" s="1663">
        <v>90234.71</v>
      </c>
      <c r="I1148" s="1783">
        <f t="shared" si="222"/>
        <v>0.98619325012568593</v>
      </c>
    </row>
    <row r="1149" spans="1:9" ht="15">
      <c r="A1149" s="1614"/>
      <c r="B1149" s="1898"/>
      <c r="C1149" s="2592" t="s">
        <v>890</v>
      </c>
      <c r="D1149" s="2593" t="s">
        <v>842</v>
      </c>
      <c r="E1149" s="2559">
        <v>7770</v>
      </c>
      <c r="F1149" s="2254">
        <v>7436</v>
      </c>
      <c r="G1149" s="2591">
        <f>2808+2733</f>
        <v>5541</v>
      </c>
      <c r="H1149" s="2594">
        <v>5464.43</v>
      </c>
      <c r="I1149" s="1783">
        <f t="shared" si="222"/>
        <v>0.98618119473019317</v>
      </c>
    </row>
    <row r="1150" spans="1:9" ht="51">
      <c r="A1150" s="1614"/>
      <c r="B1150" s="1898"/>
      <c r="C1150" s="2595" t="s">
        <v>870</v>
      </c>
      <c r="D1150" s="1691" t="s">
        <v>877</v>
      </c>
      <c r="E1150" s="2559">
        <v>64149</v>
      </c>
      <c r="F1150" s="2254">
        <v>356393</v>
      </c>
      <c r="G1150" s="2588">
        <f>122151</f>
        <v>122151</v>
      </c>
      <c r="H1150" s="2596">
        <v>113311.66</v>
      </c>
      <c r="I1150" s="1783">
        <f t="shared" si="222"/>
        <v>0.92763595877233918</v>
      </c>
    </row>
    <row r="1151" spans="1:9" ht="51">
      <c r="A1151" s="1614"/>
      <c r="B1151" s="1898"/>
      <c r="C1151" s="2597" t="s">
        <v>450</v>
      </c>
      <c r="D1151" s="2122" t="s">
        <v>877</v>
      </c>
      <c r="E1151" s="2598"/>
      <c r="F1151" s="2258">
        <v>119925</v>
      </c>
      <c r="G1151" s="2588">
        <f>119925</f>
        <v>119925</v>
      </c>
      <c r="H1151" s="2596">
        <v>0</v>
      </c>
      <c r="I1151" s="1783">
        <f t="shared" si="222"/>
        <v>0</v>
      </c>
    </row>
    <row r="1152" spans="1:9" ht="51">
      <c r="A1152" s="1614"/>
      <c r="B1152" s="1898"/>
      <c r="C1152" s="2599" t="s">
        <v>872</v>
      </c>
      <c r="D1152" s="2600" t="s">
        <v>877</v>
      </c>
      <c r="E1152" s="2601">
        <v>3885</v>
      </c>
      <c r="F1152" s="2602">
        <v>42745</v>
      </c>
      <c r="G1152" s="2588">
        <f>7397+21163</f>
        <v>28560</v>
      </c>
      <c r="H1152" s="2596">
        <v>6861.91</v>
      </c>
      <c r="I1152" s="1769">
        <f t="shared" si="222"/>
        <v>0.24026295518207283</v>
      </c>
    </row>
    <row r="1153" spans="1:9" ht="51.75" thickBot="1">
      <c r="A1153" s="1644"/>
      <c r="B1153" s="1899"/>
      <c r="C1153" s="2110" t="s">
        <v>894</v>
      </c>
      <c r="D1153" s="2530" t="s">
        <v>874</v>
      </c>
      <c r="E1153" s="2603">
        <v>833946</v>
      </c>
      <c r="F1153" s="2477">
        <v>798071</v>
      </c>
      <c r="G1153" s="2512">
        <f>586526</f>
        <v>586526</v>
      </c>
      <c r="H1153" s="1747">
        <v>586525.68000000005</v>
      </c>
      <c r="I1153" s="1651">
        <f t="shared" si="222"/>
        <v>0.99999945441463811</v>
      </c>
    </row>
    <row r="1154" spans="1:9" ht="57.75" customHeight="1">
      <c r="A1154" s="1614"/>
      <c r="B1154" s="1898"/>
      <c r="C1154" s="1659" t="s">
        <v>873</v>
      </c>
      <c r="D1154" s="1827" t="s">
        <v>874</v>
      </c>
      <c r="E1154" s="2604">
        <v>50502</v>
      </c>
      <c r="F1154" s="2254">
        <v>48330</v>
      </c>
      <c r="G1154" s="1768">
        <f>35519</f>
        <v>35519</v>
      </c>
      <c r="H1154" s="1663">
        <v>35518.730000000003</v>
      </c>
      <c r="I1154" s="1769">
        <f t="shared" si="222"/>
        <v>0.99999239843464072</v>
      </c>
    </row>
    <row r="1155" spans="1:9" ht="57.75" hidden="1" customHeight="1">
      <c r="A1155" s="1614"/>
      <c r="B1155" s="1898"/>
      <c r="C1155" s="2605" t="s">
        <v>875</v>
      </c>
      <c r="D1155" s="2606" t="s">
        <v>800</v>
      </c>
      <c r="E1155" s="2604"/>
      <c r="F1155" s="2254">
        <v>0</v>
      </c>
      <c r="G1155" s="2591">
        <v>0</v>
      </c>
      <c r="H1155" s="2594">
        <v>0</v>
      </c>
      <c r="I1155" s="1769"/>
    </row>
    <row r="1156" spans="1:9" ht="26.25" thickBot="1">
      <c r="A1156" s="1614"/>
      <c r="B1156" s="1898"/>
      <c r="C1156" s="2607" t="s">
        <v>1010</v>
      </c>
      <c r="D1156" s="2122" t="s">
        <v>967</v>
      </c>
      <c r="E1156" s="2598"/>
      <c r="F1156" s="2258">
        <v>3001</v>
      </c>
      <c r="G1156" s="1817">
        <v>3001</v>
      </c>
      <c r="H1156" s="1818">
        <v>0</v>
      </c>
      <c r="I1156" s="1725">
        <f t="shared" si="222"/>
        <v>0</v>
      </c>
    </row>
    <row r="1157" spans="1:9" ht="39.75" hidden="1" customHeight="1" thickBot="1">
      <c r="A1157" s="1819" t="s">
        <v>275</v>
      </c>
      <c r="B1157" s="1820"/>
      <c r="C1157" s="1821"/>
      <c r="D1157" s="1822" t="s">
        <v>1011</v>
      </c>
      <c r="E1157" s="1824">
        <f t="shared" ref="E1157:H1160" si="225">E1158</f>
        <v>5000</v>
      </c>
      <c r="F1157" s="1823">
        <f t="shared" si="225"/>
        <v>0</v>
      </c>
      <c r="G1157" s="1823">
        <f t="shared" si="225"/>
        <v>0</v>
      </c>
      <c r="H1157" s="1825">
        <f t="shared" si="225"/>
        <v>0</v>
      </c>
      <c r="I1157" s="2608" t="e">
        <f t="shared" si="222"/>
        <v>#DIV/0!</v>
      </c>
    </row>
    <row r="1158" spans="1:9" ht="13.5" hidden="1" thickBot="1">
      <c r="A1158" s="1614"/>
      <c r="B1158" s="1794" t="s">
        <v>277</v>
      </c>
      <c r="C1158" s="1795"/>
      <c r="D1158" s="1796" t="s">
        <v>278</v>
      </c>
      <c r="E1158" s="1797">
        <f t="shared" si="225"/>
        <v>5000</v>
      </c>
      <c r="F1158" s="1797">
        <f t="shared" si="225"/>
        <v>0</v>
      </c>
      <c r="G1158" s="1797">
        <f t="shared" si="225"/>
        <v>0</v>
      </c>
      <c r="H1158" s="1935">
        <f t="shared" si="225"/>
        <v>0</v>
      </c>
      <c r="I1158" s="2444" t="e">
        <f t="shared" si="222"/>
        <v>#DIV/0!</v>
      </c>
    </row>
    <row r="1159" spans="1:9" ht="15.75" hidden="1" thickBot="1">
      <c r="A1159" s="1614"/>
      <c r="B1159" s="1898"/>
      <c r="C1159" s="4871" t="s">
        <v>760</v>
      </c>
      <c r="D1159" s="4871"/>
      <c r="E1159" s="2609">
        <f t="shared" si="225"/>
        <v>5000</v>
      </c>
      <c r="F1159" s="2609">
        <f t="shared" si="225"/>
        <v>0</v>
      </c>
      <c r="G1159" s="2610"/>
      <c r="H1159" s="2594"/>
      <c r="I1159" s="1769" t="e">
        <f t="shared" si="222"/>
        <v>#DIV/0!</v>
      </c>
    </row>
    <row r="1160" spans="1:9" ht="15.75" hidden="1" thickBot="1">
      <c r="A1160" s="1614"/>
      <c r="B1160" s="1898"/>
      <c r="C1160" s="4884" t="s">
        <v>761</v>
      </c>
      <c r="D1160" s="4884"/>
      <c r="E1160" s="2611">
        <f t="shared" si="225"/>
        <v>5000</v>
      </c>
      <c r="F1160" s="2611">
        <f t="shared" si="225"/>
        <v>0</v>
      </c>
      <c r="G1160" s="2610"/>
      <c r="H1160" s="2594"/>
      <c r="I1160" s="1769" t="e">
        <f t="shared" si="222"/>
        <v>#DIV/0!</v>
      </c>
    </row>
    <row r="1161" spans="1:9" ht="15.75" hidden="1" thickBot="1">
      <c r="A1161" s="1614"/>
      <c r="B1161" s="1898"/>
      <c r="C1161" s="4885" t="s">
        <v>769</v>
      </c>
      <c r="D1161" s="4885"/>
      <c r="E1161" s="2557">
        <f>E1162+E1163</f>
        <v>5000</v>
      </c>
      <c r="F1161" s="2557">
        <f>F1162+F1163</f>
        <v>0</v>
      </c>
      <c r="G1161" s="2610"/>
      <c r="H1161" s="2508"/>
      <c r="I1161" s="1769" t="e">
        <f t="shared" si="222"/>
        <v>#DIV/0!</v>
      </c>
    </row>
    <row r="1162" spans="1:9" ht="15.75" hidden="1" thickBot="1">
      <c r="A1162" s="1614"/>
      <c r="B1162" s="1898"/>
      <c r="C1162" s="2595" t="s">
        <v>22</v>
      </c>
      <c r="D1162" s="2589" t="s">
        <v>771</v>
      </c>
      <c r="E1162" s="2557">
        <v>663</v>
      </c>
      <c r="F1162" s="2557">
        <v>0</v>
      </c>
      <c r="G1162" s="2610"/>
      <c r="H1162" s="2508"/>
      <c r="I1162" s="1769" t="e">
        <f t="shared" si="222"/>
        <v>#DIV/0!</v>
      </c>
    </row>
    <row r="1163" spans="1:9" ht="11.25" hidden="1" customHeight="1" thickBot="1">
      <c r="A1163" s="1614"/>
      <c r="B1163" s="1898"/>
      <c r="C1163" s="2595" t="s">
        <v>23</v>
      </c>
      <c r="D1163" s="2589" t="s">
        <v>776</v>
      </c>
      <c r="E1163" s="2258">
        <v>4337</v>
      </c>
      <c r="F1163" s="2477">
        <v>0</v>
      </c>
      <c r="G1163" s="2610"/>
      <c r="H1163" s="2594"/>
      <c r="I1163" s="1725" t="e">
        <f t="shared" si="222"/>
        <v>#DIV/0!</v>
      </c>
    </row>
    <row r="1164" spans="1:9" ht="17.100000000000001" customHeight="1" thickBot="1">
      <c r="A1164" s="1819" t="s">
        <v>96</v>
      </c>
      <c r="B1164" s="2112"/>
      <c r="C1164" s="2113"/>
      <c r="D1164" s="2114" t="s">
        <v>1012</v>
      </c>
      <c r="E1164" s="2115">
        <f>E1165+E1172+E1180+E1192+E1184</f>
        <v>2073450</v>
      </c>
      <c r="F1164" s="2115">
        <f>F1165+F1172+F1180+F1192+F1184+F1199+F1209</f>
        <v>1398000</v>
      </c>
      <c r="G1164" s="2115">
        <f>G1165+G1172+G1180+G1192+G1184+G1199+G1209</f>
        <v>1692000</v>
      </c>
      <c r="H1164" s="2117">
        <f>H1165+H1172+H1180+H1192+H1184+H1199+H1209</f>
        <v>1691116.9</v>
      </c>
      <c r="I1164" s="1826">
        <f t="shared" si="222"/>
        <v>0.99947807328605198</v>
      </c>
    </row>
    <row r="1165" spans="1:9" ht="13.5" thickBot="1">
      <c r="A1165" s="1614"/>
      <c r="B1165" s="1726" t="s">
        <v>1013</v>
      </c>
      <c r="C1165" s="1727"/>
      <c r="D1165" s="1728" t="s">
        <v>1014</v>
      </c>
      <c r="E1165" s="1729">
        <f>E1166+E1169</f>
        <v>450000</v>
      </c>
      <c r="F1165" s="1729">
        <f>F1166+F1169</f>
        <v>350000</v>
      </c>
      <c r="G1165" s="1730">
        <f>G1166+G1169</f>
        <v>450000</v>
      </c>
      <c r="H1165" s="2144">
        <f t="shared" ref="H1165" si="226">H1166+H1169</f>
        <v>449996.9</v>
      </c>
      <c r="I1165" s="1732">
        <f t="shared" si="222"/>
        <v>0.99999311111111111</v>
      </c>
    </row>
    <row r="1166" spans="1:9" ht="16.5" customHeight="1">
      <c r="A1166" s="1614"/>
      <c r="B1166" s="1894"/>
      <c r="C1166" s="4871" t="s">
        <v>760</v>
      </c>
      <c r="D1166" s="4871"/>
      <c r="E1166" s="2612">
        <f>E1167</f>
        <v>100000</v>
      </c>
      <c r="F1166" s="2612">
        <f>F1167</f>
        <v>0</v>
      </c>
      <c r="G1166" s="2613">
        <f t="shared" ref="G1166:H1167" si="227">G1167</f>
        <v>100000</v>
      </c>
      <c r="H1166" s="2614">
        <f t="shared" si="227"/>
        <v>99996.9</v>
      </c>
      <c r="I1166" s="1769">
        <f t="shared" si="222"/>
        <v>0.999969</v>
      </c>
    </row>
    <row r="1167" spans="1:9" ht="20.25" customHeight="1">
      <c r="A1167" s="1614"/>
      <c r="B1167" s="1894"/>
      <c r="C1167" s="4886" t="s">
        <v>838</v>
      </c>
      <c r="D1167" s="4887"/>
      <c r="E1167" s="2070">
        <f>E1168</f>
        <v>100000</v>
      </c>
      <c r="F1167" s="2070">
        <f>F1168</f>
        <v>0</v>
      </c>
      <c r="G1167" s="2070">
        <f t="shared" si="227"/>
        <v>100000</v>
      </c>
      <c r="H1167" s="2615">
        <f t="shared" si="227"/>
        <v>99996.9</v>
      </c>
      <c r="I1167" s="1769">
        <f t="shared" si="222"/>
        <v>0.999969</v>
      </c>
    </row>
    <row r="1168" spans="1:9" ht="15.75" customHeight="1">
      <c r="A1168" s="1614"/>
      <c r="B1168" s="1894"/>
      <c r="C1168" s="2616" t="s">
        <v>1015</v>
      </c>
      <c r="D1168" s="2617" t="s">
        <v>1016</v>
      </c>
      <c r="E1168" s="2070">
        <v>100000</v>
      </c>
      <c r="F1168" s="2070">
        <v>0</v>
      </c>
      <c r="G1168" s="2618">
        <v>100000</v>
      </c>
      <c r="H1168" s="2615">
        <v>99996.9</v>
      </c>
      <c r="I1168" s="1769">
        <f t="shared" si="222"/>
        <v>0.999969</v>
      </c>
    </row>
    <row r="1169" spans="1:9" ht="13.5" customHeight="1">
      <c r="A1169" s="1638"/>
      <c r="B1169" s="1890"/>
      <c r="C1169" s="4888" t="s">
        <v>793</v>
      </c>
      <c r="D1169" s="4889"/>
      <c r="E1169" s="2619">
        <f t="shared" ref="E1169:H1170" si="228">E1170</f>
        <v>350000</v>
      </c>
      <c r="F1169" s="2619">
        <f t="shared" si="228"/>
        <v>350000</v>
      </c>
      <c r="G1169" s="2620">
        <f t="shared" si="228"/>
        <v>350000</v>
      </c>
      <c r="H1169" s="2621">
        <f t="shared" si="228"/>
        <v>350000</v>
      </c>
      <c r="I1169" s="2622">
        <f t="shared" si="222"/>
        <v>1</v>
      </c>
    </row>
    <row r="1170" spans="1:9" ht="17.100000000000001" customHeight="1">
      <c r="A1170" s="1638"/>
      <c r="B1170" s="1890"/>
      <c r="C1170" s="4874" t="s">
        <v>794</v>
      </c>
      <c r="D1170" s="4875"/>
      <c r="E1170" s="1661">
        <f t="shared" si="228"/>
        <v>350000</v>
      </c>
      <c r="F1170" s="1661">
        <f t="shared" si="228"/>
        <v>350000</v>
      </c>
      <c r="G1170" s="1760">
        <f t="shared" si="228"/>
        <v>350000</v>
      </c>
      <c r="H1170" s="1663">
        <f t="shared" si="228"/>
        <v>350000</v>
      </c>
      <c r="I1170" s="1664">
        <f t="shared" si="222"/>
        <v>1</v>
      </c>
    </row>
    <row r="1171" spans="1:9" ht="29.25" customHeight="1" thickBot="1">
      <c r="A1171" s="1627"/>
      <c r="B1171" s="2509"/>
      <c r="C1171" s="2623" t="s">
        <v>1017</v>
      </c>
      <c r="D1171" s="2624" t="s">
        <v>1018</v>
      </c>
      <c r="E1171" s="1678">
        <v>350000</v>
      </c>
      <c r="F1171" s="1678">
        <v>350000</v>
      </c>
      <c r="G1171" s="2625">
        <v>350000</v>
      </c>
      <c r="H1171" s="1747">
        <v>350000</v>
      </c>
      <c r="I1171" s="1651">
        <f t="shared" si="222"/>
        <v>1</v>
      </c>
    </row>
    <row r="1172" spans="1:9" ht="17.100000000000001" customHeight="1" thickBot="1">
      <c r="A1172" s="1614"/>
      <c r="B1172" s="1794" t="s">
        <v>1019</v>
      </c>
      <c r="C1172" s="1795"/>
      <c r="D1172" s="1796" t="s">
        <v>1020</v>
      </c>
      <c r="E1172" s="1797">
        <f t="shared" ref="E1172:H1172" si="229">E1173+E1177</f>
        <v>185000</v>
      </c>
      <c r="F1172" s="1797">
        <f t="shared" si="229"/>
        <v>150000</v>
      </c>
      <c r="G1172" s="1934">
        <f t="shared" si="229"/>
        <v>150000</v>
      </c>
      <c r="H1172" s="2626">
        <f t="shared" si="229"/>
        <v>150000</v>
      </c>
      <c r="I1172" s="1936">
        <f t="shared" si="222"/>
        <v>1</v>
      </c>
    </row>
    <row r="1173" spans="1:9" ht="17.100000000000001" hidden="1" customHeight="1">
      <c r="A1173" s="1614"/>
      <c r="B1173" s="4687"/>
      <c r="C1173" s="4871" t="s">
        <v>760</v>
      </c>
      <c r="D1173" s="4877"/>
      <c r="E1173" s="2627"/>
      <c r="F1173" s="2627"/>
      <c r="G1173" s="2628"/>
      <c r="H1173" s="1617"/>
      <c r="I1173" s="1664" t="e">
        <f t="shared" si="222"/>
        <v>#DIV/0!</v>
      </c>
    </row>
    <row r="1174" spans="1:9" ht="17.100000000000001" hidden="1" customHeight="1">
      <c r="A1174" s="1614"/>
      <c r="B1174" s="4687"/>
      <c r="C1174" s="4878" t="s">
        <v>838</v>
      </c>
      <c r="D1174" s="4879"/>
      <c r="E1174" s="2629"/>
      <c r="F1174" s="2629"/>
      <c r="G1174" s="2630"/>
      <c r="H1174" s="2508"/>
      <c r="I1174" s="1664" t="e">
        <f t="shared" si="222"/>
        <v>#DIV/0!</v>
      </c>
    </row>
    <row r="1175" spans="1:9" ht="17.100000000000001" hidden="1" customHeight="1">
      <c r="A1175" s="1614"/>
      <c r="B1175" s="4687"/>
      <c r="C1175" s="2595" t="s">
        <v>1021</v>
      </c>
      <c r="D1175" s="2631" t="s">
        <v>1016</v>
      </c>
      <c r="E1175" s="2629"/>
      <c r="F1175" s="2629"/>
      <c r="G1175" s="2610"/>
      <c r="H1175" s="2508"/>
      <c r="I1175" s="1664" t="e">
        <f t="shared" si="222"/>
        <v>#DIV/0!</v>
      </c>
    </row>
    <row r="1176" spans="1:9" ht="17.100000000000001" hidden="1" customHeight="1">
      <c r="A1176" s="1614"/>
      <c r="B1176" s="4876"/>
      <c r="C1176" s="4880"/>
      <c r="D1176" s="4881"/>
      <c r="E1176" s="2632"/>
      <c r="F1176" s="2632"/>
      <c r="G1176" s="2632"/>
      <c r="H1176" s="2508"/>
      <c r="I1176" s="1664" t="e">
        <f t="shared" ref="I1176:I1246" si="230">H1176/G1176</f>
        <v>#DIV/0!</v>
      </c>
    </row>
    <row r="1177" spans="1:9" ht="17.100000000000001" customHeight="1">
      <c r="A1177" s="1614"/>
      <c r="B1177" s="4876"/>
      <c r="C1177" s="4882" t="s">
        <v>793</v>
      </c>
      <c r="D1177" s="4883"/>
      <c r="E1177" s="2633">
        <f t="shared" ref="E1177:H1178" si="231">E1178</f>
        <v>185000</v>
      </c>
      <c r="F1177" s="2633">
        <f t="shared" si="231"/>
        <v>150000</v>
      </c>
      <c r="G1177" s="2634">
        <f t="shared" si="231"/>
        <v>150000</v>
      </c>
      <c r="H1177" s="2635">
        <f t="shared" si="231"/>
        <v>150000</v>
      </c>
      <c r="I1177" s="1672">
        <f t="shared" si="230"/>
        <v>1</v>
      </c>
    </row>
    <row r="1178" spans="1:9" ht="17.100000000000001" customHeight="1">
      <c r="A1178" s="1614"/>
      <c r="B1178" s="4876"/>
      <c r="C1178" s="4848" t="s">
        <v>794</v>
      </c>
      <c r="D1178" s="4870"/>
      <c r="E1178" s="2636">
        <f t="shared" si="231"/>
        <v>185000</v>
      </c>
      <c r="F1178" s="2636">
        <f t="shared" si="231"/>
        <v>150000</v>
      </c>
      <c r="G1178" s="2637">
        <f t="shared" si="231"/>
        <v>150000</v>
      </c>
      <c r="H1178" s="2508">
        <f t="shared" si="231"/>
        <v>150000</v>
      </c>
      <c r="I1178" s="1664">
        <f t="shared" si="230"/>
        <v>1</v>
      </c>
    </row>
    <row r="1179" spans="1:9" ht="29.25" customHeight="1" thickBot="1">
      <c r="A1179" s="1614"/>
      <c r="B1179" s="4876"/>
      <c r="C1179" s="2638" t="s">
        <v>1017</v>
      </c>
      <c r="D1179" s="2639" t="s">
        <v>1018</v>
      </c>
      <c r="E1179" s="2640">
        <v>185000</v>
      </c>
      <c r="F1179" s="2640">
        <v>150000</v>
      </c>
      <c r="G1179" s="2166">
        <v>150000</v>
      </c>
      <c r="H1179" s="2641">
        <v>150000</v>
      </c>
      <c r="I1179" s="1725">
        <f t="shared" si="230"/>
        <v>1</v>
      </c>
    </row>
    <row r="1180" spans="1:9" ht="17.25" customHeight="1" thickBot="1">
      <c r="A1180" s="4716"/>
      <c r="B1180" s="1726" t="s">
        <v>1022</v>
      </c>
      <c r="C1180" s="1727"/>
      <c r="D1180" s="1728" t="s">
        <v>1023</v>
      </c>
      <c r="E1180" s="2642">
        <f t="shared" ref="E1180:H1186" si="232">E1181</f>
        <v>722850</v>
      </c>
      <c r="F1180" s="2642">
        <f t="shared" si="232"/>
        <v>300000</v>
      </c>
      <c r="G1180" s="2643">
        <f t="shared" si="232"/>
        <v>400000</v>
      </c>
      <c r="H1180" s="2144">
        <f t="shared" si="232"/>
        <v>400000</v>
      </c>
      <c r="I1180" s="1732">
        <f t="shared" si="230"/>
        <v>1</v>
      </c>
    </row>
    <row r="1181" spans="1:9" ht="17.100000000000001" customHeight="1">
      <c r="A1181" s="4716"/>
      <c r="B1181" s="4716"/>
      <c r="C1181" s="4871" t="s">
        <v>793</v>
      </c>
      <c r="D1181" s="4871"/>
      <c r="E1181" s="2644">
        <f t="shared" si="232"/>
        <v>722850</v>
      </c>
      <c r="F1181" s="2644">
        <f t="shared" si="232"/>
        <v>300000</v>
      </c>
      <c r="G1181" s="2645">
        <f t="shared" si="232"/>
        <v>400000</v>
      </c>
      <c r="H1181" s="1617">
        <f t="shared" si="232"/>
        <v>400000</v>
      </c>
      <c r="I1181" s="1664">
        <f t="shared" si="230"/>
        <v>1</v>
      </c>
    </row>
    <row r="1182" spans="1:9" ht="17.100000000000001" customHeight="1">
      <c r="A1182" s="1614"/>
      <c r="B1182" s="4716"/>
      <c r="C1182" s="4848" t="s">
        <v>794</v>
      </c>
      <c r="D1182" s="4870"/>
      <c r="E1182" s="2636">
        <f t="shared" si="232"/>
        <v>722850</v>
      </c>
      <c r="F1182" s="2636">
        <f t="shared" si="232"/>
        <v>300000</v>
      </c>
      <c r="G1182" s="2637">
        <f t="shared" si="232"/>
        <v>400000</v>
      </c>
      <c r="H1182" s="2508">
        <f t="shared" si="232"/>
        <v>400000</v>
      </c>
      <c r="I1182" s="1664">
        <f t="shared" si="230"/>
        <v>1</v>
      </c>
    </row>
    <row r="1183" spans="1:9" ht="30.75" customHeight="1" thickBot="1">
      <c r="A1183" s="1627"/>
      <c r="B1183" s="4675"/>
      <c r="C1183" s="2646" t="s">
        <v>1017</v>
      </c>
      <c r="D1183" s="2647" t="s">
        <v>1018</v>
      </c>
      <c r="E1183" s="2648">
        <v>722850</v>
      </c>
      <c r="F1183" s="2648">
        <v>300000</v>
      </c>
      <c r="G1183" s="1921">
        <v>400000</v>
      </c>
      <c r="H1183" s="1747">
        <v>400000</v>
      </c>
      <c r="I1183" s="1651">
        <f t="shared" si="230"/>
        <v>1</v>
      </c>
    </row>
    <row r="1184" spans="1:9" ht="17.25" customHeight="1" thickBot="1">
      <c r="A1184" s="4716"/>
      <c r="B1184" s="1726" t="s">
        <v>145</v>
      </c>
      <c r="C1184" s="1727"/>
      <c r="D1184" s="1728" t="s">
        <v>146</v>
      </c>
      <c r="E1184" s="2649">
        <f>E1185+E1189</f>
        <v>355600</v>
      </c>
      <c r="F1184" s="2649">
        <f t="shared" ref="F1184:H1184" si="233">F1185+F1189</f>
        <v>0</v>
      </c>
      <c r="G1184" s="2649">
        <f t="shared" si="233"/>
        <v>94000</v>
      </c>
      <c r="H1184" s="2650">
        <f t="shared" si="233"/>
        <v>94000</v>
      </c>
      <c r="I1184" s="1732">
        <f t="shared" si="230"/>
        <v>1</v>
      </c>
    </row>
    <row r="1185" spans="1:9" ht="15.75" customHeight="1">
      <c r="A1185" s="4716"/>
      <c r="B1185" s="1627"/>
      <c r="C1185" s="4871" t="s">
        <v>760</v>
      </c>
      <c r="D1185" s="4871"/>
      <c r="E1185" s="2651">
        <f>E1186</f>
        <v>75600</v>
      </c>
      <c r="F1185" s="2651">
        <f t="shared" si="232"/>
        <v>0</v>
      </c>
      <c r="G1185" s="2651">
        <f t="shared" si="232"/>
        <v>34000</v>
      </c>
      <c r="H1185" s="2652">
        <f t="shared" si="232"/>
        <v>34000</v>
      </c>
      <c r="I1185" s="1769">
        <f t="shared" si="230"/>
        <v>1</v>
      </c>
    </row>
    <row r="1186" spans="1:9" ht="15" customHeight="1">
      <c r="A1186" s="1614"/>
      <c r="B1186" s="1627"/>
      <c r="C1186" s="4848" t="s">
        <v>838</v>
      </c>
      <c r="D1186" s="4848"/>
      <c r="E1186" s="2636">
        <f>E1187</f>
        <v>75600</v>
      </c>
      <c r="F1186" s="2636">
        <f t="shared" si="232"/>
        <v>0</v>
      </c>
      <c r="G1186" s="2636">
        <f t="shared" si="232"/>
        <v>34000</v>
      </c>
      <c r="H1186" s="2653">
        <f t="shared" si="232"/>
        <v>34000</v>
      </c>
      <c r="I1186" s="1769">
        <f t="shared" si="230"/>
        <v>1</v>
      </c>
    </row>
    <row r="1187" spans="1:9" ht="38.25">
      <c r="A1187" s="1614"/>
      <c r="B1187" s="1627"/>
      <c r="C1187" s="2654" t="s">
        <v>86</v>
      </c>
      <c r="D1187" s="2655" t="s">
        <v>941</v>
      </c>
      <c r="E1187" s="2640">
        <v>75600</v>
      </c>
      <c r="F1187" s="2640">
        <v>0</v>
      </c>
      <c r="G1187" s="2656">
        <v>34000</v>
      </c>
      <c r="H1187" s="2508">
        <v>34000</v>
      </c>
      <c r="I1187" s="1769">
        <f t="shared" si="230"/>
        <v>1</v>
      </c>
    </row>
    <row r="1188" spans="1:9" ht="13.5" thickBot="1">
      <c r="A1188" s="1644"/>
      <c r="B1188" s="1645"/>
      <c r="C1188" s="4866"/>
      <c r="D1188" s="4867"/>
      <c r="E1188" s="2648"/>
      <c r="F1188" s="2648"/>
      <c r="G1188" s="1921"/>
      <c r="H1188" s="1747"/>
      <c r="I1188" s="2657"/>
    </row>
    <row r="1189" spans="1:9" ht="15">
      <c r="A1189" s="1614"/>
      <c r="B1189" s="1627"/>
      <c r="C1189" s="4868" t="s">
        <v>793</v>
      </c>
      <c r="D1189" s="4869"/>
      <c r="E1189" s="2644">
        <f>E1190</f>
        <v>280000</v>
      </c>
      <c r="F1189" s="2644">
        <f t="shared" ref="F1189:H1190" si="234">F1190</f>
        <v>0</v>
      </c>
      <c r="G1189" s="2644">
        <f t="shared" si="234"/>
        <v>60000</v>
      </c>
      <c r="H1189" s="2658">
        <f t="shared" si="234"/>
        <v>60000</v>
      </c>
      <c r="I1189" s="1780">
        <f t="shared" si="230"/>
        <v>1</v>
      </c>
    </row>
    <row r="1190" spans="1:9" ht="15">
      <c r="A1190" s="1614"/>
      <c r="B1190" s="1627"/>
      <c r="C1190" s="4848" t="s">
        <v>794</v>
      </c>
      <c r="D1190" s="4870"/>
      <c r="E1190" s="2636">
        <f>E1191</f>
        <v>280000</v>
      </c>
      <c r="F1190" s="2636">
        <f t="shared" si="234"/>
        <v>0</v>
      </c>
      <c r="G1190" s="2636">
        <f t="shared" si="234"/>
        <v>60000</v>
      </c>
      <c r="H1190" s="2653">
        <f t="shared" si="234"/>
        <v>60000</v>
      </c>
      <c r="I1190" s="1769">
        <f t="shared" si="230"/>
        <v>1</v>
      </c>
    </row>
    <row r="1191" spans="1:9" ht="44.25" customHeight="1" thickBot="1">
      <c r="A1191" s="1614"/>
      <c r="B1191" s="1627"/>
      <c r="C1191" s="2646" t="s">
        <v>88</v>
      </c>
      <c r="D1191" s="2647" t="s">
        <v>909</v>
      </c>
      <c r="E1191" s="2648">
        <f>250000+30000</f>
        <v>280000</v>
      </c>
      <c r="F1191" s="2648">
        <v>0</v>
      </c>
      <c r="G1191" s="2656">
        <v>60000</v>
      </c>
      <c r="H1191" s="2508">
        <v>60000</v>
      </c>
      <c r="I1191" s="1725">
        <f t="shared" si="230"/>
        <v>1</v>
      </c>
    </row>
    <row r="1192" spans="1:9" ht="17.100000000000001" customHeight="1" thickBot="1">
      <c r="A1192" s="1614"/>
      <c r="B1192" s="1726" t="s">
        <v>1024</v>
      </c>
      <c r="C1192" s="1727"/>
      <c r="D1192" s="1728" t="s">
        <v>1025</v>
      </c>
      <c r="E1192" s="2649">
        <f t="shared" ref="E1192:H1194" si="235">E1193</f>
        <v>360000</v>
      </c>
      <c r="F1192" s="2649">
        <f>F1193+F1196</f>
        <v>420000</v>
      </c>
      <c r="G1192" s="2659">
        <f t="shared" ref="G1192" si="236">G1193+G1196</f>
        <v>420000</v>
      </c>
      <c r="H1192" s="2660">
        <f>H1193+H1196</f>
        <v>420000</v>
      </c>
      <c r="I1192" s="2661">
        <f t="shared" si="230"/>
        <v>1</v>
      </c>
    </row>
    <row r="1193" spans="1:9" ht="17.100000000000001" customHeight="1">
      <c r="A1193" s="1614"/>
      <c r="B1193" s="4822"/>
      <c r="C1193" s="4871" t="s">
        <v>760</v>
      </c>
      <c r="D1193" s="4871"/>
      <c r="E1193" s="2644">
        <f t="shared" si="235"/>
        <v>360000</v>
      </c>
      <c r="F1193" s="2644">
        <f t="shared" si="235"/>
        <v>360000</v>
      </c>
      <c r="G1193" s="2645">
        <f t="shared" si="235"/>
        <v>420000</v>
      </c>
      <c r="H1193" s="1617">
        <f t="shared" si="235"/>
        <v>420000</v>
      </c>
      <c r="I1193" s="1672">
        <f t="shared" si="230"/>
        <v>1</v>
      </c>
    </row>
    <row r="1194" spans="1:9" ht="17.100000000000001" customHeight="1">
      <c r="A1194" s="1614"/>
      <c r="B1194" s="4687"/>
      <c r="C1194" s="4848" t="s">
        <v>838</v>
      </c>
      <c r="D1194" s="4848"/>
      <c r="E1194" s="2636">
        <f t="shared" si="235"/>
        <v>360000</v>
      </c>
      <c r="F1194" s="2636">
        <f t="shared" si="235"/>
        <v>360000</v>
      </c>
      <c r="G1194" s="2637">
        <f t="shared" si="235"/>
        <v>420000</v>
      </c>
      <c r="H1194" s="2508">
        <f t="shared" si="235"/>
        <v>420000</v>
      </c>
      <c r="I1194" s="1769">
        <f t="shared" si="230"/>
        <v>1</v>
      </c>
    </row>
    <row r="1195" spans="1:9" ht="57.75" customHeight="1">
      <c r="A1195" s="1638"/>
      <c r="B1195" s="4687"/>
      <c r="C1195" s="2662" t="s">
        <v>44</v>
      </c>
      <c r="D1195" s="2655" t="s">
        <v>850</v>
      </c>
      <c r="E1195" s="2636">
        <v>360000</v>
      </c>
      <c r="F1195" s="2636">
        <v>360000</v>
      </c>
      <c r="G1195" s="2610">
        <v>420000</v>
      </c>
      <c r="H1195" s="2508">
        <v>420000</v>
      </c>
      <c r="I1195" s="1769">
        <f t="shared" si="230"/>
        <v>1</v>
      </c>
    </row>
    <row r="1196" spans="1:9" ht="15" customHeight="1">
      <c r="A1196" s="1638"/>
      <c r="B1196" s="4687"/>
      <c r="C1196" s="4872" t="s">
        <v>793</v>
      </c>
      <c r="D1196" s="4873"/>
      <c r="E1196" s="2663">
        <f t="shared" ref="E1196:H1197" si="237">E1197</f>
        <v>722850</v>
      </c>
      <c r="F1196" s="2664">
        <f t="shared" si="237"/>
        <v>60000</v>
      </c>
      <c r="G1196" s="2665">
        <f t="shared" si="237"/>
        <v>0</v>
      </c>
      <c r="H1196" s="1617">
        <f t="shared" si="237"/>
        <v>0</v>
      </c>
      <c r="I1196" s="1780"/>
    </row>
    <row r="1197" spans="1:9" ht="15">
      <c r="A1197" s="1614"/>
      <c r="B1197" s="1684"/>
      <c r="C1197" s="4644" t="s">
        <v>794</v>
      </c>
      <c r="D1197" s="4660"/>
      <c r="E1197" s="2666">
        <f t="shared" si="237"/>
        <v>722850</v>
      </c>
      <c r="F1197" s="2666">
        <f t="shared" si="237"/>
        <v>60000</v>
      </c>
      <c r="G1197" s="2667">
        <f t="shared" si="237"/>
        <v>0</v>
      </c>
      <c r="H1197" s="1663">
        <f t="shared" si="237"/>
        <v>0</v>
      </c>
      <c r="I1197" s="2668"/>
    </row>
    <row r="1198" spans="1:9" ht="54.75" customHeight="1" thickBot="1">
      <c r="A1198" s="1627"/>
      <c r="B1198" s="1849"/>
      <c r="C1198" s="2646" t="s">
        <v>1026</v>
      </c>
      <c r="D1198" s="2647" t="s">
        <v>1027</v>
      </c>
      <c r="E1198" s="2648">
        <v>722850</v>
      </c>
      <c r="F1198" s="2648">
        <v>60000</v>
      </c>
      <c r="G1198" s="1921">
        <v>0</v>
      </c>
      <c r="H1198" s="1747">
        <v>0</v>
      </c>
      <c r="I1198" s="1651"/>
    </row>
    <row r="1199" spans="1:9" ht="18" customHeight="1" thickBot="1">
      <c r="A1199" s="1614"/>
      <c r="B1199" s="1794" t="s">
        <v>98</v>
      </c>
      <c r="C1199" s="1795"/>
      <c r="D1199" s="1796" t="s">
        <v>99</v>
      </c>
      <c r="E1199" s="1797" t="e">
        <f t="shared" ref="E1199:H1200" si="238">E1200</f>
        <v>#REF!</v>
      </c>
      <c r="F1199" s="1797">
        <f t="shared" si="238"/>
        <v>178000</v>
      </c>
      <c r="G1199" s="1797">
        <f>G1200</f>
        <v>178000</v>
      </c>
      <c r="H1199" s="2626">
        <f t="shared" si="238"/>
        <v>177120</v>
      </c>
      <c r="I1199" s="1936">
        <f t="shared" si="230"/>
        <v>0.99505617977528094</v>
      </c>
    </row>
    <row r="1200" spans="1:9" ht="12.75" customHeight="1">
      <c r="A1200" s="1614"/>
      <c r="B1200" s="4687"/>
      <c r="C1200" s="4633" t="s">
        <v>973</v>
      </c>
      <c r="D1200" s="4633"/>
      <c r="E1200" s="2669" t="e">
        <f t="shared" si="238"/>
        <v>#REF!</v>
      </c>
      <c r="F1200" s="1734">
        <f t="shared" si="238"/>
        <v>178000</v>
      </c>
      <c r="G1200" s="2670">
        <f>G1201</f>
        <v>178000</v>
      </c>
      <c r="H1200" s="1736">
        <f t="shared" si="238"/>
        <v>177120</v>
      </c>
      <c r="I1200" s="2671">
        <f t="shared" si="230"/>
        <v>0.99505617977528094</v>
      </c>
    </row>
    <row r="1201" spans="1:9" ht="12.75" customHeight="1">
      <c r="A1201" s="1614"/>
      <c r="B1201" s="4687"/>
      <c r="C1201" s="4839" t="s">
        <v>761</v>
      </c>
      <c r="D1201" s="4839"/>
      <c r="E1201" s="2505" t="e">
        <f>#REF!+E1203</f>
        <v>#REF!</v>
      </c>
      <c r="F1201" s="2506">
        <f>F1203</f>
        <v>178000</v>
      </c>
      <c r="G1201" s="2507">
        <f>G1203+G1207</f>
        <v>178000</v>
      </c>
      <c r="H1201" s="2508">
        <f>H1203+H1207</f>
        <v>177120</v>
      </c>
      <c r="I1201" s="2672">
        <f t="shared" si="230"/>
        <v>0.99505617977528094</v>
      </c>
    </row>
    <row r="1202" spans="1:9" ht="12.75" hidden="1" customHeight="1">
      <c r="A1202" s="1614"/>
      <c r="B1202" s="1627"/>
      <c r="C1202" s="2673"/>
      <c r="D1202" s="1877"/>
      <c r="E1202" s="2673"/>
      <c r="F1202" s="1878"/>
      <c r="G1202" s="2507"/>
      <c r="H1202" s="2508"/>
      <c r="I1202" s="2672"/>
    </row>
    <row r="1203" spans="1:9">
      <c r="A1203" s="1614"/>
      <c r="B1203" s="1627"/>
      <c r="C1203" s="4634" t="s">
        <v>769</v>
      </c>
      <c r="D1203" s="4634"/>
      <c r="E1203" s="2674">
        <f>SUM(E1204:E1205)</f>
        <v>11000</v>
      </c>
      <c r="F1203" s="1942">
        <f>SUM(F1204:F1205)</f>
        <v>178000</v>
      </c>
      <c r="G1203" s="2675">
        <f>SUM(G1204:G1205)</f>
        <v>178000</v>
      </c>
      <c r="H1203" s="2676">
        <f>SUM(H1204:H1205)</f>
        <v>177120</v>
      </c>
      <c r="I1203" s="2677">
        <f t="shared" si="230"/>
        <v>0.99505617977528094</v>
      </c>
    </row>
    <row r="1204" spans="1:9" hidden="1">
      <c r="A1204" s="1614"/>
      <c r="B1204" s="1627"/>
      <c r="C1204" s="2638" t="s">
        <v>22</v>
      </c>
      <c r="D1204" s="2639" t="s">
        <v>771</v>
      </c>
      <c r="E1204" s="2678">
        <v>3500</v>
      </c>
      <c r="F1204" s="2679">
        <v>0</v>
      </c>
      <c r="G1204" s="2507">
        <v>0</v>
      </c>
      <c r="H1204" s="2508">
        <v>0</v>
      </c>
      <c r="I1204" s="2672" t="e">
        <f t="shared" si="230"/>
        <v>#DIV/0!</v>
      </c>
    </row>
    <row r="1205" spans="1:9" ht="13.5" thickBot="1">
      <c r="A1205" s="1614"/>
      <c r="B1205" s="1627"/>
      <c r="C1205" s="2680" t="s">
        <v>23</v>
      </c>
      <c r="D1205" s="2681" t="s">
        <v>776</v>
      </c>
      <c r="E1205" s="2678">
        <v>7500</v>
      </c>
      <c r="F1205" s="2679">
        <v>178000</v>
      </c>
      <c r="G1205" s="2028">
        <v>178000</v>
      </c>
      <c r="H1205" s="2508">
        <v>177120</v>
      </c>
      <c r="I1205" s="2672">
        <f t="shared" si="230"/>
        <v>0.99505617977528094</v>
      </c>
    </row>
    <row r="1206" spans="1:9" ht="13.5" hidden="1" thickBot="1">
      <c r="A1206" s="1644"/>
      <c r="B1206" s="1645"/>
      <c r="C1206" s="2682"/>
      <c r="D1206" s="2683"/>
      <c r="E1206" s="1921"/>
      <c r="F1206" s="1678"/>
      <c r="G1206" s="2512"/>
      <c r="H1206" s="1747"/>
      <c r="I1206" s="2261"/>
    </row>
    <row r="1207" spans="1:9" ht="16.5" hidden="1" customHeight="1">
      <c r="A1207" s="1614"/>
      <c r="B1207" s="1627"/>
      <c r="C1207" s="4864" t="s">
        <v>838</v>
      </c>
      <c r="D1207" s="4865"/>
      <c r="E1207" s="2684"/>
      <c r="F1207" s="1661">
        <f>F1208</f>
        <v>0</v>
      </c>
      <c r="G1207" s="2685">
        <f t="shared" ref="G1207:H1207" si="239">G1208</f>
        <v>0</v>
      </c>
      <c r="H1207" s="1663">
        <f t="shared" si="239"/>
        <v>0</v>
      </c>
      <c r="I1207" s="2022" t="e">
        <f t="shared" si="230"/>
        <v>#DIV/0!</v>
      </c>
    </row>
    <row r="1208" spans="1:9" ht="29.25" hidden="1" customHeight="1" thickBot="1">
      <c r="A1208" s="1614"/>
      <c r="B1208" s="1627"/>
      <c r="C1208" s="2682" t="s">
        <v>100</v>
      </c>
      <c r="D1208" s="2683" t="s">
        <v>897</v>
      </c>
      <c r="E1208" s="1921"/>
      <c r="F1208" s="1678">
        <v>0</v>
      </c>
      <c r="G1208" s="2512"/>
      <c r="H1208" s="1747"/>
      <c r="I1208" s="2261" t="e">
        <f t="shared" si="230"/>
        <v>#DIV/0!</v>
      </c>
    </row>
    <row r="1209" spans="1:9" ht="16.5" hidden="1" customHeight="1" thickBot="1">
      <c r="A1209" s="1614"/>
      <c r="B1209" s="2686" t="s">
        <v>147</v>
      </c>
      <c r="C1209" s="1727"/>
      <c r="D1209" s="1728" t="s">
        <v>95</v>
      </c>
      <c r="E1209" s="2649" t="e">
        <f>E1210+#REF!</f>
        <v>#REF!</v>
      </c>
      <c r="F1209" s="2649">
        <f>SUM(F1210)</f>
        <v>0</v>
      </c>
      <c r="G1209" s="2649">
        <f t="shared" ref="G1209:H1209" si="240">SUM(G1210)</f>
        <v>0</v>
      </c>
      <c r="H1209" s="2650">
        <f t="shared" si="240"/>
        <v>0</v>
      </c>
      <c r="I1209" s="1732" t="e">
        <f t="shared" si="230"/>
        <v>#DIV/0!</v>
      </c>
    </row>
    <row r="1210" spans="1:9" ht="16.5" hidden="1" customHeight="1">
      <c r="A1210" s="1614"/>
      <c r="B1210" s="1627"/>
      <c r="C1210" s="4633" t="s">
        <v>760</v>
      </c>
      <c r="D1210" s="4633"/>
      <c r="E1210" s="2651">
        <f>E1211</f>
        <v>75600</v>
      </c>
      <c r="F1210" s="2651">
        <f>F1211</f>
        <v>0</v>
      </c>
      <c r="G1210" s="2651">
        <f t="shared" ref="G1210:H1211" si="241">G1211</f>
        <v>0</v>
      </c>
      <c r="H1210" s="2652">
        <f t="shared" si="241"/>
        <v>0</v>
      </c>
      <c r="I1210" s="1769" t="e">
        <f t="shared" si="230"/>
        <v>#DIV/0!</v>
      </c>
    </row>
    <row r="1211" spans="1:9" ht="16.5" hidden="1" customHeight="1">
      <c r="A1211" s="1614"/>
      <c r="B1211" s="1627"/>
      <c r="C1211" s="4848" t="s">
        <v>838</v>
      </c>
      <c r="D1211" s="4848"/>
      <c r="E1211" s="2636">
        <f>E1212</f>
        <v>75600</v>
      </c>
      <c r="F1211" s="2636">
        <f>F1212</f>
        <v>0</v>
      </c>
      <c r="G1211" s="2636">
        <f t="shared" si="241"/>
        <v>0</v>
      </c>
      <c r="H1211" s="2653">
        <f t="shared" si="241"/>
        <v>0</v>
      </c>
      <c r="I1211" s="1769" t="e">
        <f t="shared" si="230"/>
        <v>#DIV/0!</v>
      </c>
    </row>
    <row r="1212" spans="1:9" ht="39.75" hidden="1" customHeight="1" thickBot="1">
      <c r="A1212" s="1614"/>
      <c r="B1212" s="1627"/>
      <c r="C1212" s="2654" t="s">
        <v>86</v>
      </c>
      <c r="D1212" s="2655" t="s">
        <v>941</v>
      </c>
      <c r="E1212" s="2640">
        <v>75600</v>
      </c>
      <c r="F1212" s="2640">
        <v>0</v>
      </c>
      <c r="G1212" s="2656"/>
      <c r="H1212" s="2508"/>
      <c r="I1212" s="1725" t="e">
        <f t="shared" si="230"/>
        <v>#DIV/0!</v>
      </c>
    </row>
    <row r="1213" spans="1:9" ht="16.5" customHeight="1" thickBot="1">
      <c r="A1213" s="1819" t="s">
        <v>1028</v>
      </c>
      <c r="B1213" s="1820"/>
      <c r="C1213" s="1821"/>
      <c r="D1213" s="1822" t="s">
        <v>1029</v>
      </c>
      <c r="E1213" s="2687">
        <f t="shared" ref="E1213:H1213" si="242">E1214+E1218</f>
        <v>13510494</v>
      </c>
      <c r="F1213" s="2687">
        <f t="shared" si="242"/>
        <v>21851254</v>
      </c>
      <c r="G1213" s="2688">
        <f t="shared" si="242"/>
        <v>15947128</v>
      </c>
      <c r="H1213" s="2689">
        <f t="shared" si="242"/>
        <v>3823011.96</v>
      </c>
      <c r="I1213" s="2690">
        <f t="shared" si="230"/>
        <v>0.23973043672816824</v>
      </c>
    </row>
    <row r="1214" spans="1:9" ht="30" customHeight="1" thickBot="1">
      <c r="A1214" s="1614"/>
      <c r="B1214" s="2691" t="s">
        <v>1030</v>
      </c>
      <c r="C1214" s="1727"/>
      <c r="D1214" s="2692" t="s">
        <v>1031</v>
      </c>
      <c r="E1214" s="2693">
        <f t="shared" ref="E1214:H1216" si="243">E1215</f>
        <v>8754562</v>
      </c>
      <c r="F1214" s="2693">
        <f t="shared" si="243"/>
        <v>10736836</v>
      </c>
      <c r="G1214" s="2694">
        <f t="shared" si="243"/>
        <v>6376623</v>
      </c>
      <c r="H1214" s="2695">
        <f t="shared" si="243"/>
        <v>3823011.96</v>
      </c>
      <c r="I1214" s="1936">
        <f t="shared" si="230"/>
        <v>0.59953551589924636</v>
      </c>
    </row>
    <row r="1215" spans="1:9" ht="15.75" customHeight="1">
      <c r="A1215" s="1614"/>
      <c r="B1215" s="4687"/>
      <c r="C1215" s="4633" t="s">
        <v>760</v>
      </c>
      <c r="D1215" s="4862"/>
      <c r="E1215" s="2696">
        <f t="shared" si="243"/>
        <v>8754562</v>
      </c>
      <c r="F1215" s="2696">
        <f t="shared" si="243"/>
        <v>10736836</v>
      </c>
      <c r="G1215" s="2697">
        <f t="shared" si="243"/>
        <v>6376623</v>
      </c>
      <c r="H1215" s="1617">
        <f t="shared" si="243"/>
        <v>3823011.96</v>
      </c>
      <c r="I1215" s="1769">
        <f t="shared" si="230"/>
        <v>0.59953551589924636</v>
      </c>
    </row>
    <row r="1216" spans="1:9" ht="15.75" customHeight="1">
      <c r="A1216" s="1614"/>
      <c r="B1216" s="4687"/>
      <c r="C1216" s="4839" t="s">
        <v>1032</v>
      </c>
      <c r="D1216" s="4863"/>
      <c r="E1216" s="2698">
        <f t="shared" si="243"/>
        <v>8754562</v>
      </c>
      <c r="F1216" s="2698">
        <f t="shared" si="243"/>
        <v>10736836</v>
      </c>
      <c r="G1216" s="2610">
        <f t="shared" si="243"/>
        <v>6376623</v>
      </c>
      <c r="H1216" s="2508">
        <f t="shared" si="243"/>
        <v>3823011.96</v>
      </c>
      <c r="I1216" s="1769">
        <f t="shared" si="230"/>
        <v>0.59953551589924636</v>
      </c>
    </row>
    <row r="1217" spans="1:14" ht="39.75" customHeight="1" thickBot="1">
      <c r="A1217" s="1644"/>
      <c r="B1217" s="4645"/>
      <c r="C1217" s="2646" t="s">
        <v>1033</v>
      </c>
      <c r="D1217" s="2699" t="s">
        <v>1034</v>
      </c>
      <c r="E1217" s="2700">
        <v>8754562</v>
      </c>
      <c r="F1217" s="2700">
        <v>10736836</v>
      </c>
      <c r="G1217" s="1921">
        <v>6376623</v>
      </c>
      <c r="H1217" s="1747">
        <v>3823011.96</v>
      </c>
      <c r="I1217" s="1651">
        <f t="shared" si="230"/>
        <v>0.59953551589924636</v>
      </c>
    </row>
    <row r="1218" spans="1:14" ht="28.5" customHeight="1" thickBot="1">
      <c r="A1218" s="2701"/>
      <c r="B1218" s="2691" t="s">
        <v>1035</v>
      </c>
      <c r="C1218" s="1727"/>
      <c r="D1218" s="2692" t="s">
        <v>1036</v>
      </c>
      <c r="E1218" s="2693">
        <f t="shared" ref="E1218:H1220" si="244">E1219</f>
        <v>4755932</v>
      </c>
      <c r="F1218" s="2693">
        <f t="shared" si="244"/>
        <v>11114418</v>
      </c>
      <c r="G1218" s="2694">
        <f t="shared" si="244"/>
        <v>9570505</v>
      </c>
      <c r="H1218" s="2695">
        <f t="shared" si="244"/>
        <v>0</v>
      </c>
      <c r="I1218" s="2702">
        <f t="shared" si="230"/>
        <v>0</v>
      </c>
    </row>
    <row r="1219" spans="1:14" ht="16.5" customHeight="1">
      <c r="A1219" s="2703"/>
      <c r="B1219" s="4687"/>
      <c r="C1219" s="4633" t="s">
        <v>760</v>
      </c>
      <c r="D1219" s="4862"/>
      <c r="E1219" s="2696">
        <f t="shared" si="244"/>
        <v>4755932</v>
      </c>
      <c r="F1219" s="2696">
        <f t="shared" si="244"/>
        <v>11114418</v>
      </c>
      <c r="G1219" s="2697">
        <f t="shared" si="244"/>
        <v>9570505</v>
      </c>
      <c r="H1219" s="1617">
        <f t="shared" si="244"/>
        <v>0</v>
      </c>
      <c r="I1219" s="1769"/>
    </row>
    <row r="1220" spans="1:14" ht="16.5" customHeight="1">
      <c r="A1220" s="2703"/>
      <c r="B1220" s="4687"/>
      <c r="C1220" s="4839" t="s">
        <v>1037</v>
      </c>
      <c r="D1220" s="4863"/>
      <c r="E1220" s="2698">
        <f t="shared" si="244"/>
        <v>4755932</v>
      </c>
      <c r="F1220" s="2698">
        <f t="shared" si="244"/>
        <v>11114418</v>
      </c>
      <c r="G1220" s="2656">
        <f t="shared" si="244"/>
        <v>9570505</v>
      </c>
      <c r="H1220" s="2508">
        <f t="shared" si="244"/>
        <v>0</v>
      </c>
      <c r="I1220" s="1769"/>
    </row>
    <row r="1221" spans="1:14" ht="16.5" customHeight="1" thickBot="1">
      <c r="A1221" s="1644"/>
      <c r="B1221" s="4645"/>
      <c r="C1221" s="2646" t="s">
        <v>1038</v>
      </c>
      <c r="D1221" s="2699" t="s">
        <v>1039</v>
      </c>
      <c r="E1221" s="2704">
        <v>4755932</v>
      </c>
      <c r="F1221" s="2704">
        <v>11114418</v>
      </c>
      <c r="G1221" s="2705">
        <v>9570505</v>
      </c>
      <c r="H1221" s="2706">
        <v>0</v>
      </c>
      <c r="I1221" s="1651"/>
      <c r="N1221" s="2707"/>
    </row>
    <row r="1222" spans="1:14" ht="16.5" customHeight="1" thickBot="1">
      <c r="A1222" s="2708" t="s">
        <v>1040</v>
      </c>
      <c r="B1222" s="2709"/>
      <c r="C1222" s="2710"/>
      <c r="D1222" s="2711" t="s">
        <v>1041</v>
      </c>
      <c r="E1222" s="2712">
        <f t="shared" ref="E1222:H1222" si="245">E1223</f>
        <v>30666328</v>
      </c>
      <c r="F1222" s="2713">
        <f t="shared" si="245"/>
        <v>66115000</v>
      </c>
      <c r="G1222" s="2714">
        <f>G1223</f>
        <v>20102982</v>
      </c>
      <c r="H1222" s="2715">
        <f t="shared" si="245"/>
        <v>0</v>
      </c>
      <c r="I1222" s="2716">
        <f t="shared" si="230"/>
        <v>0</v>
      </c>
    </row>
    <row r="1223" spans="1:14" ht="16.5" customHeight="1" thickBot="1">
      <c r="A1223" s="2717"/>
      <c r="B1223" s="2691" t="s">
        <v>1042</v>
      </c>
      <c r="C1223" s="1727"/>
      <c r="D1223" s="2718" t="s">
        <v>1043</v>
      </c>
      <c r="E1223" s="2719">
        <f t="shared" ref="E1223:H1223" si="246">E1224+E1229</f>
        <v>30666328</v>
      </c>
      <c r="F1223" s="2693">
        <f t="shared" si="246"/>
        <v>66115000</v>
      </c>
      <c r="G1223" s="2694">
        <f t="shared" si="246"/>
        <v>20102982</v>
      </c>
      <c r="H1223" s="2720">
        <f t="shared" si="246"/>
        <v>0</v>
      </c>
      <c r="I1223" s="2702">
        <f t="shared" si="230"/>
        <v>0</v>
      </c>
    </row>
    <row r="1224" spans="1:14" ht="16.5" customHeight="1">
      <c r="A1224" s="1614"/>
      <c r="B1224" s="1779"/>
      <c r="C1224" s="4633" t="s">
        <v>760</v>
      </c>
      <c r="D1224" s="4856"/>
      <c r="E1224" s="2721">
        <f t="shared" ref="E1224:H1226" si="247">E1225</f>
        <v>12946149</v>
      </c>
      <c r="F1224" s="2696">
        <f t="shared" si="247"/>
        <v>31115000</v>
      </c>
      <c r="G1224" s="2697">
        <f t="shared" si="247"/>
        <v>5970935</v>
      </c>
      <c r="H1224" s="1617">
        <f t="shared" si="247"/>
        <v>0</v>
      </c>
      <c r="I1224" s="2668">
        <f t="shared" si="230"/>
        <v>0</v>
      </c>
    </row>
    <row r="1225" spans="1:14" ht="16.5" customHeight="1">
      <c r="A1225" s="1614"/>
      <c r="B1225" s="1779"/>
      <c r="C1225" s="4839" t="s">
        <v>761</v>
      </c>
      <c r="D1225" s="4857"/>
      <c r="E1225" s="2722">
        <f t="shared" si="247"/>
        <v>12946149</v>
      </c>
      <c r="F1225" s="2698">
        <f t="shared" si="247"/>
        <v>31115000</v>
      </c>
      <c r="G1225" s="2656">
        <f t="shared" si="247"/>
        <v>5970935</v>
      </c>
      <c r="H1225" s="2508">
        <f t="shared" si="247"/>
        <v>0</v>
      </c>
      <c r="I1225" s="2668">
        <f t="shared" si="230"/>
        <v>0</v>
      </c>
    </row>
    <row r="1226" spans="1:14" ht="16.5" customHeight="1">
      <c r="A1226" s="1614"/>
      <c r="B1226" s="1779"/>
      <c r="C1226" s="4844" t="s">
        <v>769</v>
      </c>
      <c r="D1226" s="4858"/>
      <c r="E1226" s="2723">
        <f t="shared" si="247"/>
        <v>12946149</v>
      </c>
      <c r="F1226" s="2724">
        <f t="shared" si="247"/>
        <v>31115000</v>
      </c>
      <c r="G1226" s="2725">
        <f>G1227</f>
        <v>5970935</v>
      </c>
      <c r="H1226" s="2676">
        <f t="shared" si="247"/>
        <v>0</v>
      </c>
      <c r="I1226" s="2668">
        <f t="shared" si="230"/>
        <v>0</v>
      </c>
    </row>
    <row r="1227" spans="1:14" ht="16.5" customHeight="1">
      <c r="A1227" s="1614"/>
      <c r="B1227" s="1779"/>
      <c r="C1227" s="2638" t="s">
        <v>1044</v>
      </c>
      <c r="D1227" s="2726" t="s">
        <v>1045</v>
      </c>
      <c r="E1227" s="2727">
        <v>12946149</v>
      </c>
      <c r="F1227" s="2728">
        <v>31115000</v>
      </c>
      <c r="G1227" s="2656">
        <v>5970935</v>
      </c>
      <c r="H1227" s="2508">
        <v>0</v>
      </c>
      <c r="I1227" s="2668">
        <f t="shared" si="230"/>
        <v>0</v>
      </c>
    </row>
    <row r="1228" spans="1:14" ht="16.5" customHeight="1">
      <c r="A1228" s="1638"/>
      <c r="B1228" s="1779"/>
      <c r="C1228" s="2729"/>
      <c r="D1228" s="2730"/>
      <c r="E1228" s="2730"/>
      <c r="F1228" s="2730"/>
      <c r="G1228" s="2656"/>
      <c r="H1228" s="2508"/>
      <c r="I1228" s="2525"/>
    </row>
    <row r="1229" spans="1:14" ht="16.5" customHeight="1">
      <c r="A1229" s="1638"/>
      <c r="B1229" s="1779"/>
      <c r="C1229" s="4635" t="s">
        <v>793</v>
      </c>
      <c r="D1229" s="4859"/>
      <c r="E1229" s="2721">
        <f t="shared" ref="E1229:H1230" si="248">E1230</f>
        <v>17720179</v>
      </c>
      <c r="F1229" s="2696">
        <f t="shared" si="248"/>
        <v>35000000</v>
      </c>
      <c r="G1229" s="2697">
        <f t="shared" si="248"/>
        <v>14132047</v>
      </c>
      <c r="H1229" s="1617">
        <f t="shared" si="248"/>
        <v>0</v>
      </c>
      <c r="I1229" s="2668">
        <f t="shared" si="230"/>
        <v>0</v>
      </c>
    </row>
    <row r="1230" spans="1:14" ht="16.5" customHeight="1">
      <c r="A1230" s="1638"/>
      <c r="B1230" s="1779"/>
      <c r="C1230" s="4860" t="s">
        <v>794</v>
      </c>
      <c r="D1230" s="4861"/>
      <c r="E1230" s="2722">
        <f t="shared" si="248"/>
        <v>17720179</v>
      </c>
      <c r="F1230" s="2698">
        <f t="shared" si="248"/>
        <v>35000000</v>
      </c>
      <c r="G1230" s="2656">
        <f>G1231</f>
        <v>14132047</v>
      </c>
      <c r="H1230" s="2508">
        <f t="shared" si="248"/>
        <v>0</v>
      </c>
      <c r="I1230" s="2668">
        <f t="shared" si="230"/>
        <v>0</v>
      </c>
    </row>
    <row r="1231" spans="1:14" ht="16.5" customHeight="1" thickBot="1">
      <c r="A1231" s="2271"/>
      <c r="B1231" s="1791"/>
      <c r="C1231" s="2110" t="s">
        <v>1046</v>
      </c>
      <c r="D1231" s="2731" t="s">
        <v>1047</v>
      </c>
      <c r="E1231" s="2732">
        <v>17720179</v>
      </c>
      <c r="F1231" s="2733">
        <v>35000000</v>
      </c>
      <c r="G1231" s="2684">
        <v>14132047</v>
      </c>
      <c r="H1231" s="1663">
        <v>0</v>
      </c>
      <c r="I1231" s="1725">
        <f t="shared" si="230"/>
        <v>0</v>
      </c>
    </row>
    <row r="1232" spans="1:14" ht="16.5" customHeight="1" thickBot="1">
      <c r="A1232" s="2708" t="s">
        <v>149</v>
      </c>
      <c r="B1232" s="2709"/>
      <c r="C1232" s="2734"/>
      <c r="D1232" s="2735" t="s">
        <v>1048</v>
      </c>
      <c r="E1232" s="2736">
        <f>SUM(E1233,E1241,E1278,E1300,E1318,E1378,E1461,E1529,E1513,E1295,E1274)</f>
        <v>57257313</v>
      </c>
      <c r="F1232" s="2736">
        <f>SUM(F1233,F1241,F1278,F1300,F1318,F1378,F1461,F1529,F1513,F1295,F1274)</f>
        <v>55609698</v>
      </c>
      <c r="G1232" s="2737">
        <f>SUM(G1233,G1241,G1278,G1300,G1318,G1378,G1461,G1529,G1513,G1295,G1274)</f>
        <v>57198637</v>
      </c>
      <c r="H1232" s="2715">
        <f>SUM(H1233,H1241,H1278,H1300,H1318,H1378,H1461,H1529,H1513,H1295,H1274)</f>
        <v>55359106.280000001</v>
      </c>
      <c r="I1232" s="2716">
        <f t="shared" si="230"/>
        <v>0.96783960568850624</v>
      </c>
    </row>
    <row r="1233" spans="1:9" ht="16.5" customHeight="1" thickBot="1">
      <c r="A1233" s="2202"/>
      <c r="B1233" s="2691" t="s">
        <v>1049</v>
      </c>
      <c r="C1233" s="1727"/>
      <c r="D1233" s="1728" t="s">
        <v>1050</v>
      </c>
      <c r="E1233" s="2738">
        <f>E1238</f>
        <v>0</v>
      </c>
      <c r="F1233" s="2738">
        <f>F1238+F1234</f>
        <v>0</v>
      </c>
      <c r="G1233" s="2738">
        <f t="shared" ref="G1233:H1233" si="249">G1238+G1234</f>
        <v>36000</v>
      </c>
      <c r="H1233" s="2720">
        <f t="shared" si="249"/>
        <v>36000</v>
      </c>
      <c r="I1233" s="2702">
        <f t="shared" si="230"/>
        <v>1</v>
      </c>
    </row>
    <row r="1234" spans="1:9" ht="15.75" customHeight="1">
      <c r="A1234" s="2202"/>
      <c r="B1234" s="1627"/>
      <c r="C1234" s="4633" t="s">
        <v>760</v>
      </c>
      <c r="D1234" s="4633"/>
      <c r="E1234" s="2651">
        <f>E1235</f>
        <v>75600</v>
      </c>
      <c r="F1234" s="2651">
        <f>F1235</f>
        <v>0</v>
      </c>
      <c r="G1234" s="2651">
        <f>G1235</f>
        <v>12000</v>
      </c>
      <c r="H1234" s="2652">
        <f t="shared" ref="F1234:H1235" si="250">H1235</f>
        <v>12000</v>
      </c>
      <c r="I1234" s="1769">
        <f t="shared" si="230"/>
        <v>1</v>
      </c>
    </row>
    <row r="1235" spans="1:9" ht="15" customHeight="1">
      <c r="A1235" s="1614"/>
      <c r="B1235" s="1627"/>
      <c r="C1235" s="4848" t="s">
        <v>838</v>
      </c>
      <c r="D1235" s="4848"/>
      <c r="E1235" s="2636">
        <f>E1236</f>
        <v>75600</v>
      </c>
      <c r="F1235" s="2636">
        <f t="shared" si="250"/>
        <v>0</v>
      </c>
      <c r="G1235" s="2636">
        <f t="shared" si="250"/>
        <v>12000</v>
      </c>
      <c r="H1235" s="2653">
        <f t="shared" si="250"/>
        <v>12000</v>
      </c>
      <c r="I1235" s="1769">
        <f t="shared" si="230"/>
        <v>1</v>
      </c>
    </row>
    <row r="1236" spans="1:9" ht="38.25">
      <c r="A1236" s="1614"/>
      <c r="B1236" s="1627"/>
      <c r="C1236" s="2654" t="s">
        <v>86</v>
      </c>
      <c r="D1236" s="2655" t="s">
        <v>941</v>
      </c>
      <c r="E1236" s="2640">
        <v>75600</v>
      </c>
      <c r="F1236" s="2640">
        <v>0</v>
      </c>
      <c r="G1236" s="2656">
        <v>12000</v>
      </c>
      <c r="H1236" s="2508">
        <v>12000</v>
      </c>
      <c r="I1236" s="1769">
        <f t="shared" si="230"/>
        <v>1</v>
      </c>
    </row>
    <row r="1237" spans="1:9">
      <c r="A1237" s="1614"/>
      <c r="B1237" s="1627"/>
      <c r="C1237" s="4852"/>
      <c r="D1237" s="4853"/>
      <c r="E1237" s="2636"/>
      <c r="F1237" s="2636"/>
      <c r="G1237" s="2656"/>
      <c r="H1237" s="2508"/>
      <c r="I1237" s="2525"/>
    </row>
    <row r="1238" spans="1:9">
      <c r="A1238" s="2202"/>
      <c r="B1238" s="4686"/>
      <c r="C1238" s="4635" t="s">
        <v>793</v>
      </c>
      <c r="D1238" s="4854"/>
      <c r="E1238" s="1987">
        <f>E1239</f>
        <v>0</v>
      </c>
      <c r="F1238" s="1987">
        <f t="shared" ref="F1238:H1239" si="251">F1239</f>
        <v>0</v>
      </c>
      <c r="G1238" s="2739">
        <f t="shared" si="251"/>
        <v>24000</v>
      </c>
      <c r="H1238" s="1994">
        <f t="shared" si="251"/>
        <v>24000</v>
      </c>
      <c r="I1238" s="2668">
        <f t="shared" si="230"/>
        <v>1</v>
      </c>
    </row>
    <row r="1239" spans="1:9" ht="15">
      <c r="A1239" s="2202"/>
      <c r="B1239" s="4686"/>
      <c r="C1239" s="4848" t="s">
        <v>794</v>
      </c>
      <c r="D1239" s="4855"/>
      <c r="E1239" s="2740">
        <f>E1240</f>
        <v>0</v>
      </c>
      <c r="F1239" s="2740">
        <f t="shared" si="251"/>
        <v>0</v>
      </c>
      <c r="G1239" s="2741">
        <f t="shared" si="251"/>
        <v>24000</v>
      </c>
      <c r="H1239" s="2742">
        <f t="shared" si="251"/>
        <v>24000</v>
      </c>
      <c r="I1239" s="2668">
        <f t="shared" si="230"/>
        <v>1</v>
      </c>
    </row>
    <row r="1240" spans="1:9" ht="42.75" customHeight="1" thickBot="1">
      <c r="A1240" s="2743"/>
      <c r="B1240" s="4629"/>
      <c r="C1240" s="2110" t="s">
        <v>88</v>
      </c>
      <c r="D1240" s="2744" t="s">
        <v>909</v>
      </c>
      <c r="E1240" s="2096"/>
      <c r="F1240" s="2096">
        <v>0</v>
      </c>
      <c r="G1240" s="2214">
        <v>24000</v>
      </c>
      <c r="H1240" s="2215">
        <v>24000</v>
      </c>
      <c r="I1240" s="1651">
        <f t="shared" si="230"/>
        <v>1</v>
      </c>
    </row>
    <row r="1241" spans="1:9" ht="17.100000000000001" customHeight="1" thickBot="1">
      <c r="A1241" s="2745"/>
      <c r="B1241" s="1794" t="s">
        <v>1051</v>
      </c>
      <c r="C1241" s="1795"/>
      <c r="D1241" s="1796" t="s">
        <v>602</v>
      </c>
      <c r="E1241" s="1797">
        <f>E1242+E1271</f>
        <v>5773252</v>
      </c>
      <c r="F1241" s="1797">
        <f t="shared" ref="F1241:H1241" si="252">F1242+F1271</f>
        <v>7736914</v>
      </c>
      <c r="G1241" s="1934">
        <f t="shared" si="252"/>
        <v>7840228</v>
      </c>
      <c r="H1241" s="1935">
        <f t="shared" si="252"/>
        <v>7513369.75</v>
      </c>
      <c r="I1241" s="1936">
        <f t="shared" si="230"/>
        <v>0.95831010909376613</v>
      </c>
    </row>
    <row r="1242" spans="1:9" ht="17.100000000000001" customHeight="1">
      <c r="A1242" s="1614"/>
      <c r="B1242" s="1627"/>
      <c r="C1242" s="4633" t="s">
        <v>760</v>
      </c>
      <c r="D1242" s="4633"/>
      <c r="E1242" s="1615">
        <f>E1243+E1268</f>
        <v>5773252</v>
      </c>
      <c r="F1242" s="1615">
        <f t="shared" ref="F1242:H1242" si="253">F1243+F1268</f>
        <v>7736914</v>
      </c>
      <c r="G1242" s="2746">
        <f t="shared" si="253"/>
        <v>7840228</v>
      </c>
      <c r="H1242" s="1617">
        <f t="shared" si="253"/>
        <v>7513369.75</v>
      </c>
      <c r="I1242" s="1769">
        <f t="shared" si="230"/>
        <v>0.95831010909376613</v>
      </c>
    </row>
    <row r="1243" spans="1:9" ht="17.100000000000001" customHeight="1">
      <c r="A1243" s="1614"/>
      <c r="B1243" s="1627"/>
      <c r="C1243" s="4839" t="s">
        <v>761</v>
      </c>
      <c r="D1243" s="4839"/>
      <c r="E1243" s="2506">
        <f t="shared" ref="E1243:H1243" si="254">E1244+E1252</f>
        <v>5633984</v>
      </c>
      <c r="F1243" s="2506">
        <f t="shared" si="254"/>
        <v>7616803</v>
      </c>
      <c r="G1243" s="2505">
        <f t="shared" si="254"/>
        <v>7480022</v>
      </c>
      <c r="H1243" s="2508">
        <f t="shared" si="254"/>
        <v>7158546.7299999995</v>
      </c>
      <c r="I1243" s="1769">
        <f t="shared" si="230"/>
        <v>0.95702214913271644</v>
      </c>
    </row>
    <row r="1244" spans="1:9" ht="17.100000000000001" customHeight="1" thickBot="1">
      <c r="A1244" s="1644"/>
      <c r="B1244" s="1645"/>
      <c r="C1244" s="4849" t="s">
        <v>762</v>
      </c>
      <c r="D1244" s="4849"/>
      <c r="E1244" s="2747">
        <f t="shared" ref="E1244" si="255">SUM(E1245:E1249)</f>
        <v>5256562</v>
      </c>
      <c r="F1244" s="2747">
        <f>SUM(F1245:F1250)</f>
        <v>7174483</v>
      </c>
      <c r="G1244" s="2747">
        <f t="shared" ref="G1244:H1244" si="256">SUM(G1245:G1250)</f>
        <v>6932569</v>
      </c>
      <c r="H1244" s="2748">
        <f t="shared" si="256"/>
        <v>6642291.1699999999</v>
      </c>
      <c r="I1244" s="2148">
        <f t="shared" si="230"/>
        <v>0.95812838934599853</v>
      </c>
    </row>
    <row r="1245" spans="1:9" ht="17.100000000000001" customHeight="1">
      <c r="A1245" s="1614"/>
      <c r="B1245" s="1627"/>
      <c r="C1245" s="1659" t="s">
        <v>61</v>
      </c>
      <c r="D1245" s="1660" t="s">
        <v>763</v>
      </c>
      <c r="E1245" s="1661">
        <v>4059622</v>
      </c>
      <c r="F1245" s="1661">
        <v>5479314</v>
      </c>
      <c r="G1245" s="1881">
        <v>5344963</v>
      </c>
      <c r="H1245" s="1663">
        <v>5231536.0999999996</v>
      </c>
      <c r="I1245" s="1769">
        <f t="shared" si="230"/>
        <v>0.97877873055435549</v>
      </c>
    </row>
    <row r="1246" spans="1:9" ht="17.100000000000001" customHeight="1">
      <c r="A1246" s="1614"/>
      <c r="B1246" s="1627"/>
      <c r="C1246" s="2749" t="s">
        <v>315</v>
      </c>
      <c r="D1246" s="2750" t="s">
        <v>764</v>
      </c>
      <c r="E1246" s="2506">
        <v>315420</v>
      </c>
      <c r="F1246" s="2506">
        <v>468810</v>
      </c>
      <c r="G1246" s="2610">
        <v>422155</v>
      </c>
      <c r="H1246" s="2508">
        <v>389782.85</v>
      </c>
      <c r="I1246" s="1769">
        <f t="shared" si="230"/>
        <v>0.92331690966588098</v>
      </c>
    </row>
    <row r="1247" spans="1:9" ht="17.100000000000001" customHeight="1">
      <c r="A1247" s="1614"/>
      <c r="B1247" s="1627"/>
      <c r="C1247" s="2749" t="s">
        <v>62</v>
      </c>
      <c r="D1247" s="2750" t="s">
        <v>765</v>
      </c>
      <c r="E1247" s="2506">
        <v>764553</v>
      </c>
      <c r="F1247" s="2506">
        <v>1064513</v>
      </c>
      <c r="G1247" s="2610">
        <v>1007579</v>
      </c>
      <c r="H1247" s="2508">
        <v>908827.04</v>
      </c>
      <c r="I1247" s="1769">
        <f t="shared" ref="I1247:I1313" si="257">H1247/G1247</f>
        <v>0.90199085133771151</v>
      </c>
    </row>
    <row r="1248" spans="1:9" ht="17.100000000000001" customHeight="1">
      <c r="A1248" s="1614"/>
      <c r="B1248" s="1627"/>
      <c r="C1248" s="2749" t="s">
        <v>63</v>
      </c>
      <c r="D1248" s="2750" t="s">
        <v>798</v>
      </c>
      <c r="E1248" s="2506">
        <v>109167</v>
      </c>
      <c r="F1248" s="2506">
        <v>151046</v>
      </c>
      <c r="G1248" s="2610">
        <v>136198</v>
      </c>
      <c r="H1248" s="2508">
        <v>93219.44</v>
      </c>
      <c r="I1248" s="1769">
        <f t="shared" si="257"/>
        <v>0.68444059384131928</v>
      </c>
    </row>
    <row r="1249" spans="1:9" ht="17.100000000000001" customHeight="1">
      <c r="A1249" s="1614"/>
      <c r="B1249" s="1627"/>
      <c r="C1249" s="2749" t="s">
        <v>324</v>
      </c>
      <c r="D1249" s="2750" t="s">
        <v>1052</v>
      </c>
      <c r="E1249" s="2506">
        <v>7800</v>
      </c>
      <c r="F1249" s="2506">
        <v>10800</v>
      </c>
      <c r="G1249" s="2610">
        <v>10800</v>
      </c>
      <c r="H1249" s="2508">
        <v>10800</v>
      </c>
      <c r="I1249" s="1769">
        <f t="shared" si="257"/>
        <v>1</v>
      </c>
    </row>
    <row r="1250" spans="1:9" ht="17.100000000000001" customHeight="1">
      <c r="A1250" s="1614"/>
      <c r="B1250" s="1627"/>
      <c r="C1250" s="2751" t="s">
        <v>335</v>
      </c>
      <c r="D1250" s="2752" t="s">
        <v>768</v>
      </c>
      <c r="E1250" s="1661"/>
      <c r="F1250" s="1661">
        <v>0</v>
      </c>
      <c r="G1250" s="2610">
        <v>10874</v>
      </c>
      <c r="H1250" s="2508">
        <v>8125.74</v>
      </c>
      <c r="I1250" s="1769">
        <f t="shared" si="257"/>
        <v>0.74726319661578078</v>
      </c>
    </row>
    <row r="1251" spans="1:9" ht="17.100000000000001" customHeight="1">
      <c r="A1251" s="1614"/>
      <c r="B1251" s="1627"/>
      <c r="C1251" s="1876"/>
      <c r="D1251" s="1877"/>
      <c r="E1251" s="1878"/>
      <c r="F1251" s="1878"/>
      <c r="G1251" s="2610"/>
      <c r="H1251" s="2508"/>
      <c r="I1251" s="1769"/>
    </row>
    <row r="1252" spans="1:9" ht="17.100000000000001" customHeight="1">
      <c r="A1252" s="1614"/>
      <c r="B1252" s="1627"/>
      <c r="C1252" s="4634" t="s">
        <v>769</v>
      </c>
      <c r="D1252" s="4634"/>
      <c r="E1252" s="1942">
        <f>SUM(E1254:E1266)</f>
        <v>377422</v>
      </c>
      <c r="F1252" s="1942">
        <f>SUM(F1253:F1266)</f>
        <v>442320</v>
      </c>
      <c r="G1252" s="1942">
        <f t="shared" ref="G1252:H1252" si="258">SUM(G1253:G1266)</f>
        <v>547453</v>
      </c>
      <c r="H1252" s="1944">
        <f t="shared" si="258"/>
        <v>516255.55999999994</v>
      </c>
      <c r="I1252" s="1783">
        <f t="shared" si="257"/>
        <v>0.94301348243593508</v>
      </c>
    </row>
    <row r="1253" spans="1:9" ht="17.100000000000001" customHeight="1">
      <c r="A1253" s="1614"/>
      <c r="B1253" s="1627"/>
      <c r="C1253" s="2753" t="s">
        <v>332</v>
      </c>
      <c r="D1253" s="2754" t="s">
        <v>1053</v>
      </c>
      <c r="E1253" s="1661"/>
      <c r="F1253" s="1661">
        <v>0</v>
      </c>
      <c r="G1253" s="1761">
        <v>9400</v>
      </c>
      <c r="H1253" s="1663">
        <v>8396</v>
      </c>
      <c r="I1253" s="1664">
        <f t="shared" si="257"/>
        <v>0.89319148936170212</v>
      </c>
    </row>
    <row r="1254" spans="1:9" ht="17.100000000000001" customHeight="1">
      <c r="A1254" s="1614"/>
      <c r="B1254" s="1627"/>
      <c r="C1254" s="2749" t="s">
        <v>22</v>
      </c>
      <c r="D1254" s="2750" t="s">
        <v>771</v>
      </c>
      <c r="E1254" s="2506">
        <v>16079</v>
      </c>
      <c r="F1254" s="2506">
        <v>11309</v>
      </c>
      <c r="G1254" s="2610">
        <v>14309</v>
      </c>
      <c r="H1254" s="2508">
        <v>14308.77</v>
      </c>
      <c r="I1254" s="1664">
        <f t="shared" si="257"/>
        <v>0.99998392620029353</v>
      </c>
    </row>
    <row r="1255" spans="1:9" ht="17.100000000000001" customHeight="1">
      <c r="A1255" s="1614"/>
      <c r="B1255" s="1627"/>
      <c r="C1255" s="2749" t="s">
        <v>329</v>
      </c>
      <c r="D1255" s="2750" t="s">
        <v>945</v>
      </c>
      <c r="E1255" s="2506">
        <v>6914</v>
      </c>
      <c r="F1255" s="2506">
        <v>9283</v>
      </c>
      <c r="G1255" s="2610">
        <v>111283</v>
      </c>
      <c r="H1255" s="2508">
        <v>111276.43</v>
      </c>
      <c r="I1255" s="1664">
        <f t="shared" si="257"/>
        <v>0.99994096133281807</v>
      </c>
    </row>
    <row r="1256" spans="1:9" ht="17.100000000000001" customHeight="1">
      <c r="A1256" s="1614"/>
      <c r="B1256" s="1627"/>
      <c r="C1256" s="2749" t="s">
        <v>316</v>
      </c>
      <c r="D1256" s="2750" t="s">
        <v>773</v>
      </c>
      <c r="E1256" s="2506">
        <v>26400</v>
      </c>
      <c r="F1256" s="2506">
        <v>26400</v>
      </c>
      <c r="G1256" s="2610">
        <v>24900</v>
      </c>
      <c r="H1256" s="2508">
        <v>23651.9</v>
      </c>
      <c r="I1256" s="1664">
        <f t="shared" si="257"/>
        <v>0.94987550200803217</v>
      </c>
    </row>
    <row r="1257" spans="1:9" ht="17.100000000000001" customHeight="1">
      <c r="A1257" s="1638"/>
      <c r="B1257" s="1638"/>
      <c r="C1257" s="2662" t="s">
        <v>87</v>
      </c>
      <c r="D1257" s="2655" t="s">
        <v>774</v>
      </c>
      <c r="E1257" s="2506">
        <v>3600</v>
      </c>
      <c r="F1257" s="2506">
        <v>3600</v>
      </c>
      <c r="G1257" s="2656">
        <v>3600</v>
      </c>
      <c r="H1257" s="2508">
        <v>2623.82</v>
      </c>
      <c r="I1257" s="1664">
        <f t="shared" si="257"/>
        <v>0.72883888888888892</v>
      </c>
    </row>
    <row r="1258" spans="1:9" ht="17.100000000000001" customHeight="1">
      <c r="A1258" s="1638"/>
      <c r="B1258" s="1638"/>
      <c r="C1258" s="1695" t="s">
        <v>317</v>
      </c>
      <c r="D1258" s="1696" t="s">
        <v>775</v>
      </c>
      <c r="E1258" s="1661">
        <v>6275</v>
      </c>
      <c r="F1258" s="1661">
        <v>4096</v>
      </c>
      <c r="G1258" s="1662">
        <v>5296</v>
      </c>
      <c r="H1258" s="1663">
        <v>3569</v>
      </c>
      <c r="I1258" s="1664">
        <f t="shared" si="257"/>
        <v>0.67390483383685795</v>
      </c>
    </row>
    <row r="1259" spans="1:9" ht="17.100000000000001" customHeight="1">
      <c r="A1259" s="1614"/>
      <c r="B1259" s="1627"/>
      <c r="C1259" s="2541" t="s">
        <v>23</v>
      </c>
      <c r="D1259" s="2542" t="s">
        <v>776</v>
      </c>
      <c r="E1259" s="2506">
        <v>20676</v>
      </c>
      <c r="F1259" s="2506">
        <v>23376</v>
      </c>
      <c r="G1259" s="2610">
        <v>40056</v>
      </c>
      <c r="H1259" s="2508">
        <v>38518.480000000003</v>
      </c>
      <c r="I1259" s="1664">
        <f t="shared" si="257"/>
        <v>0.96161573796684652</v>
      </c>
    </row>
    <row r="1260" spans="1:9" ht="16.5" customHeight="1">
      <c r="A1260" s="1638"/>
      <c r="B1260" s="1638"/>
      <c r="C1260" s="2755" t="s">
        <v>318</v>
      </c>
      <c r="D1260" s="1691" t="s">
        <v>777</v>
      </c>
      <c r="E1260" s="2506">
        <v>7723</v>
      </c>
      <c r="F1260" s="2506">
        <v>7923</v>
      </c>
      <c r="G1260" s="2610">
        <v>7923</v>
      </c>
      <c r="H1260" s="2508">
        <v>6283.3</v>
      </c>
      <c r="I1260" s="1664">
        <f t="shared" si="257"/>
        <v>0.79304556354916067</v>
      </c>
    </row>
    <row r="1261" spans="1:9" ht="27" customHeight="1">
      <c r="A1261" s="1638"/>
      <c r="B1261" s="1638"/>
      <c r="C1261" s="1659" t="s">
        <v>779</v>
      </c>
      <c r="D1261" s="1660" t="s">
        <v>780</v>
      </c>
      <c r="E1261" s="1661">
        <v>78146</v>
      </c>
      <c r="F1261" s="1661">
        <v>84700</v>
      </c>
      <c r="G1261" s="1662">
        <v>64970</v>
      </c>
      <c r="H1261" s="1663">
        <v>63925.84</v>
      </c>
      <c r="I1261" s="1664">
        <f t="shared" si="257"/>
        <v>0.98392858242265657</v>
      </c>
    </row>
    <row r="1262" spans="1:9" ht="17.100000000000001" customHeight="1">
      <c r="A1262" s="1614"/>
      <c r="B1262" s="1627"/>
      <c r="C1262" s="2662" t="s">
        <v>328</v>
      </c>
      <c r="D1262" s="2655" t="s">
        <v>781</v>
      </c>
      <c r="E1262" s="2506">
        <v>3225</v>
      </c>
      <c r="F1262" s="2506">
        <v>3225</v>
      </c>
      <c r="G1262" s="2756">
        <v>2060</v>
      </c>
      <c r="H1262" s="2508">
        <v>897.16</v>
      </c>
      <c r="I1262" s="1664">
        <f t="shared" si="257"/>
        <v>0.43551456310679609</v>
      </c>
    </row>
    <row r="1263" spans="1:9" ht="17.100000000000001" customHeight="1">
      <c r="A1263" s="1614"/>
      <c r="B1263" s="1627"/>
      <c r="C1263" s="1659" t="s">
        <v>319</v>
      </c>
      <c r="D1263" s="1660" t="s">
        <v>783</v>
      </c>
      <c r="E1263" s="1661">
        <v>202050</v>
      </c>
      <c r="F1263" s="1661">
        <v>264996</v>
      </c>
      <c r="G1263" s="1662">
        <v>255089</v>
      </c>
      <c r="H1263" s="1663">
        <v>239613.86</v>
      </c>
      <c r="I1263" s="1664">
        <f t="shared" si="257"/>
        <v>0.93933434997197052</v>
      </c>
    </row>
    <row r="1264" spans="1:9" ht="17.100000000000001" customHeight="1">
      <c r="A1264" s="1614"/>
      <c r="B1264" s="1627"/>
      <c r="C1264" s="1659" t="s">
        <v>884</v>
      </c>
      <c r="D1264" s="1660" t="s">
        <v>885</v>
      </c>
      <c r="E1264" s="1661"/>
      <c r="F1264" s="1661">
        <v>0</v>
      </c>
      <c r="G1264" s="1881">
        <v>270</v>
      </c>
      <c r="H1264" s="1663">
        <v>223</v>
      </c>
      <c r="I1264" s="1769">
        <f t="shared" si="257"/>
        <v>0.82592592592592595</v>
      </c>
    </row>
    <row r="1265" spans="1:9" ht="15.75" customHeight="1">
      <c r="A1265" s="1614"/>
      <c r="B1265" s="1627"/>
      <c r="C1265" s="2749" t="s">
        <v>848</v>
      </c>
      <c r="D1265" s="2750" t="s">
        <v>849</v>
      </c>
      <c r="E1265" s="2506">
        <v>2836</v>
      </c>
      <c r="F1265" s="2506">
        <v>0</v>
      </c>
      <c r="G1265" s="2756">
        <v>4800</v>
      </c>
      <c r="H1265" s="2508">
        <v>2291</v>
      </c>
      <c r="I1265" s="1769">
        <f t="shared" si="257"/>
        <v>0.47729166666666667</v>
      </c>
    </row>
    <row r="1266" spans="1:9" ht="26.25" customHeight="1">
      <c r="A1266" s="1614"/>
      <c r="B1266" s="4716"/>
      <c r="C1266" s="2749" t="s">
        <v>64</v>
      </c>
      <c r="D1266" s="2750" t="s">
        <v>790</v>
      </c>
      <c r="E1266" s="2506">
        <v>3498</v>
      </c>
      <c r="F1266" s="2506">
        <v>3412</v>
      </c>
      <c r="G1266" s="2756">
        <v>3497</v>
      </c>
      <c r="H1266" s="2508">
        <v>677</v>
      </c>
      <c r="I1266" s="1769">
        <f t="shared" si="257"/>
        <v>0.1935945095796397</v>
      </c>
    </row>
    <row r="1267" spans="1:9" ht="17.100000000000001" customHeight="1">
      <c r="A1267" s="1614"/>
      <c r="B1267" s="4716"/>
      <c r="C1267" s="1688"/>
      <c r="D1267" s="1688"/>
      <c r="E1267" s="1638"/>
      <c r="F1267" s="1638"/>
      <c r="G1267" s="2610"/>
      <c r="H1267" s="2508"/>
      <c r="I1267" s="1769"/>
    </row>
    <row r="1268" spans="1:9" ht="17.100000000000001" customHeight="1">
      <c r="A1268" s="1614"/>
      <c r="B1268" s="4716"/>
      <c r="C1268" s="4848" t="s">
        <v>998</v>
      </c>
      <c r="D1268" s="4848"/>
      <c r="E1268" s="2506">
        <f t="shared" ref="E1268:H1268" si="259">E1269</f>
        <v>139268</v>
      </c>
      <c r="F1268" s="2506">
        <f t="shared" si="259"/>
        <v>120111</v>
      </c>
      <c r="G1268" s="2505">
        <f t="shared" si="259"/>
        <v>360206</v>
      </c>
      <c r="H1268" s="2508">
        <f t="shared" si="259"/>
        <v>354823.02</v>
      </c>
      <c r="I1268" s="1769">
        <f t="shared" si="257"/>
        <v>0.98505582916442258</v>
      </c>
    </row>
    <row r="1269" spans="1:9" ht="17.100000000000001" customHeight="1" thickBot="1">
      <c r="A1269" s="1645"/>
      <c r="B1269" s="4675"/>
      <c r="C1269" s="2646" t="s">
        <v>314</v>
      </c>
      <c r="D1269" s="2647" t="s">
        <v>792</v>
      </c>
      <c r="E1269" s="1678">
        <v>139268</v>
      </c>
      <c r="F1269" s="1678">
        <v>120111</v>
      </c>
      <c r="G1269" s="1921">
        <v>360206</v>
      </c>
      <c r="H1269" s="1747">
        <v>354823.02</v>
      </c>
      <c r="I1269" s="1651">
        <f t="shared" si="257"/>
        <v>0.98505582916442258</v>
      </c>
    </row>
    <row r="1270" spans="1:9" ht="17.100000000000001" hidden="1" customHeight="1">
      <c r="A1270" s="1614"/>
      <c r="B1270" s="1627"/>
      <c r="C1270" s="2012"/>
      <c r="D1270" s="1905"/>
      <c r="E1270" s="1661"/>
      <c r="F1270" s="1661"/>
      <c r="G1270" s="1881"/>
      <c r="H1270" s="1663"/>
      <c r="I1270" s="1769" t="e">
        <f t="shared" si="257"/>
        <v>#DIV/0!</v>
      </c>
    </row>
    <row r="1271" spans="1:9" ht="17.100000000000001" hidden="1" customHeight="1">
      <c r="A1271" s="1614"/>
      <c r="B1271" s="1627"/>
      <c r="C1271" s="4850" t="s">
        <v>793</v>
      </c>
      <c r="D1271" s="4851"/>
      <c r="E1271" s="2757">
        <f t="shared" ref="E1271:F1271" si="260">E1272</f>
        <v>0</v>
      </c>
      <c r="F1271" s="2757">
        <f t="shared" si="260"/>
        <v>0</v>
      </c>
      <c r="G1271" s="2756"/>
      <c r="H1271" s="2508"/>
      <c r="I1271" s="1769" t="e">
        <f t="shared" si="257"/>
        <v>#DIV/0!</v>
      </c>
    </row>
    <row r="1272" spans="1:9" ht="17.100000000000001" hidden="1" customHeight="1">
      <c r="A1272" s="1614"/>
      <c r="B1272" s="1627"/>
      <c r="C1272" s="4846" t="s">
        <v>794</v>
      </c>
      <c r="D1272" s="4847"/>
      <c r="E1272" s="2557">
        <f>SUM(E1273)</f>
        <v>0</v>
      </c>
      <c r="F1272" s="2557">
        <f t="shared" ref="F1272" si="261">SUM(F1273)</f>
        <v>0</v>
      </c>
      <c r="G1272" s="2756"/>
      <c r="H1272" s="2508"/>
      <c r="I1272" s="1769" t="e">
        <f t="shared" si="257"/>
        <v>#DIV/0!</v>
      </c>
    </row>
    <row r="1273" spans="1:9" ht="15.75" hidden="1" customHeight="1" thickBot="1">
      <c r="A1273" s="1614"/>
      <c r="B1273" s="1627"/>
      <c r="C1273" s="2638" t="s">
        <v>24</v>
      </c>
      <c r="D1273" s="2639" t="s">
        <v>842</v>
      </c>
      <c r="E1273" s="2758"/>
      <c r="F1273" s="2758">
        <v>0</v>
      </c>
      <c r="G1273" s="2756"/>
      <c r="H1273" s="2508"/>
      <c r="I1273" s="1725" t="e">
        <f t="shared" si="257"/>
        <v>#DIV/0!</v>
      </c>
    </row>
    <row r="1274" spans="1:9" ht="17.25" hidden="1" customHeight="1" thickBot="1">
      <c r="A1274" s="1614"/>
      <c r="B1274" s="2691" t="s">
        <v>1054</v>
      </c>
      <c r="C1274" s="1727"/>
      <c r="D1274" s="1728" t="s">
        <v>1055</v>
      </c>
      <c r="E1274" s="2738">
        <f t="shared" ref="E1274:H1274" si="262">E1275</f>
        <v>75600</v>
      </c>
      <c r="F1274" s="2738">
        <f t="shared" si="262"/>
        <v>0</v>
      </c>
      <c r="G1274" s="2738">
        <f t="shared" si="262"/>
        <v>0</v>
      </c>
      <c r="H1274" s="2720">
        <f t="shared" si="262"/>
        <v>0</v>
      </c>
      <c r="I1274" s="2702" t="e">
        <f t="shared" si="257"/>
        <v>#DIV/0!</v>
      </c>
    </row>
    <row r="1275" spans="1:9" ht="17.25" hidden="1" customHeight="1">
      <c r="A1275" s="1614"/>
      <c r="B1275" s="1627"/>
      <c r="C1275" s="4633" t="s">
        <v>760</v>
      </c>
      <c r="D1275" s="4633"/>
      <c r="E1275" s="1615">
        <f>E1276</f>
        <v>75600</v>
      </c>
      <c r="F1275" s="1615">
        <f t="shared" ref="F1275:H1275" si="263">F1276+F1289</f>
        <v>0</v>
      </c>
      <c r="G1275" s="1615">
        <f t="shared" si="263"/>
        <v>0</v>
      </c>
      <c r="H1275" s="1617">
        <f t="shared" si="263"/>
        <v>0</v>
      </c>
      <c r="I1275" s="1769" t="e">
        <f t="shared" si="257"/>
        <v>#DIV/0!</v>
      </c>
    </row>
    <row r="1276" spans="1:9" ht="17.25" hidden="1" customHeight="1">
      <c r="A1276" s="1614"/>
      <c r="B1276" s="1627"/>
      <c r="C1276" s="4848" t="s">
        <v>838</v>
      </c>
      <c r="D1276" s="4848"/>
      <c r="E1276" s="2636">
        <f>E1277</f>
        <v>75600</v>
      </c>
      <c r="F1276" s="2636">
        <f>F1277</f>
        <v>0</v>
      </c>
      <c r="G1276" s="2636">
        <f t="shared" ref="G1276:H1276" si="264">G1277</f>
        <v>0</v>
      </c>
      <c r="H1276" s="2653">
        <f t="shared" si="264"/>
        <v>0</v>
      </c>
      <c r="I1276" s="1769" t="e">
        <f t="shared" si="257"/>
        <v>#DIV/0!</v>
      </c>
    </row>
    <row r="1277" spans="1:9" ht="40.5" hidden="1" customHeight="1" thickBot="1">
      <c r="A1277" s="1614"/>
      <c r="B1277" s="1627"/>
      <c r="C1277" s="2654" t="s">
        <v>86</v>
      </c>
      <c r="D1277" s="2655" t="s">
        <v>941</v>
      </c>
      <c r="E1277" s="2640">
        <v>75600</v>
      </c>
      <c r="F1277" s="2640">
        <v>0</v>
      </c>
      <c r="G1277" s="2756"/>
      <c r="H1277" s="2508"/>
      <c r="I1277" s="1769" t="e">
        <f t="shared" si="257"/>
        <v>#DIV/0!</v>
      </c>
    </row>
    <row r="1278" spans="1:9" ht="13.5" hidden="1" thickBot="1">
      <c r="A1278" s="1614"/>
      <c r="B1278" s="2691" t="s">
        <v>1056</v>
      </c>
      <c r="C1278" s="1727"/>
      <c r="D1278" s="1728" t="s">
        <v>1057</v>
      </c>
      <c r="E1278" s="2738">
        <f>E1279</f>
        <v>2092885</v>
      </c>
      <c r="F1278" s="2738">
        <f t="shared" ref="F1278" si="265">F1279</f>
        <v>0</v>
      </c>
      <c r="G1278" s="2756"/>
      <c r="H1278" s="2508"/>
      <c r="I1278" s="1769" t="e">
        <f t="shared" si="257"/>
        <v>#DIV/0!</v>
      </c>
    </row>
    <row r="1279" spans="1:9" ht="6.75" hidden="1" customHeight="1">
      <c r="A1279" s="1614"/>
      <c r="B1279" s="4716"/>
      <c r="C1279" s="4633" t="s">
        <v>760</v>
      </c>
      <c r="D1279" s="4633"/>
      <c r="E1279" s="1615">
        <f>E1280+E1293</f>
        <v>2092885</v>
      </c>
      <c r="F1279" s="1615">
        <f t="shared" ref="F1279" si="266">F1280+F1293</f>
        <v>0</v>
      </c>
      <c r="G1279" s="2756"/>
      <c r="H1279" s="2508"/>
      <c r="I1279" s="1769" t="e">
        <f t="shared" si="257"/>
        <v>#DIV/0!</v>
      </c>
    </row>
    <row r="1280" spans="1:9" ht="13.5" hidden="1" thickBot="1">
      <c r="A1280" s="1614"/>
      <c r="B1280" s="4716"/>
      <c r="C1280" s="4839" t="s">
        <v>761</v>
      </c>
      <c r="D1280" s="4839"/>
      <c r="E1280" s="2506">
        <f>E1281+E1287</f>
        <v>2064805</v>
      </c>
      <c r="F1280" s="2506">
        <f t="shared" ref="F1280" si="267">F1281+F1287</f>
        <v>0</v>
      </c>
      <c r="G1280" s="2756"/>
      <c r="H1280" s="2508"/>
      <c r="I1280" s="1769" t="e">
        <f t="shared" si="257"/>
        <v>#DIV/0!</v>
      </c>
    </row>
    <row r="1281" spans="1:9" ht="13.5" hidden="1" thickBot="1">
      <c r="A1281" s="1614"/>
      <c r="B1281" s="4716"/>
      <c r="C1281" s="4845" t="s">
        <v>762</v>
      </c>
      <c r="D1281" s="4845"/>
      <c r="E1281" s="2759">
        <f>SUM(E1282:E1285)</f>
        <v>1979580</v>
      </c>
      <c r="F1281" s="2759">
        <f t="shared" ref="F1281" si="268">SUM(F1282:F1285)</f>
        <v>0</v>
      </c>
      <c r="G1281" s="2756"/>
      <c r="H1281" s="2508"/>
      <c r="I1281" s="1769" t="e">
        <f t="shared" si="257"/>
        <v>#DIV/0!</v>
      </c>
    </row>
    <row r="1282" spans="1:9" ht="13.5" hidden="1" thickBot="1">
      <c r="A1282" s="1614"/>
      <c r="B1282" s="4716"/>
      <c r="C1282" s="2749" t="s">
        <v>61</v>
      </c>
      <c r="D1282" s="2750" t="s">
        <v>763</v>
      </c>
      <c r="E1282" s="2506">
        <v>1505512</v>
      </c>
      <c r="F1282" s="2506">
        <v>0</v>
      </c>
      <c r="G1282" s="2756"/>
      <c r="H1282" s="2508"/>
      <c r="I1282" s="1769" t="e">
        <f t="shared" si="257"/>
        <v>#DIV/0!</v>
      </c>
    </row>
    <row r="1283" spans="1:9" ht="13.5" hidden="1" thickBot="1">
      <c r="A1283" s="1614"/>
      <c r="B1283" s="4716"/>
      <c r="C1283" s="2749" t="s">
        <v>315</v>
      </c>
      <c r="D1283" s="2750" t="s">
        <v>764</v>
      </c>
      <c r="E1283" s="2506">
        <v>123461</v>
      </c>
      <c r="F1283" s="2506">
        <v>0</v>
      </c>
      <c r="G1283" s="2756"/>
      <c r="H1283" s="2508"/>
      <c r="I1283" s="1769" t="e">
        <f t="shared" si="257"/>
        <v>#DIV/0!</v>
      </c>
    </row>
    <row r="1284" spans="1:9" ht="13.5" hidden="1" thickBot="1">
      <c r="A1284" s="1614"/>
      <c r="B1284" s="4716"/>
      <c r="C1284" s="2749" t="s">
        <v>62</v>
      </c>
      <c r="D1284" s="2750" t="s">
        <v>765</v>
      </c>
      <c r="E1284" s="2506">
        <v>309155</v>
      </c>
      <c r="F1284" s="2506">
        <v>0</v>
      </c>
      <c r="G1284" s="2610"/>
      <c r="H1284" s="2508"/>
      <c r="I1284" s="1769" t="e">
        <f t="shared" si="257"/>
        <v>#DIV/0!</v>
      </c>
    </row>
    <row r="1285" spans="1:9" ht="26.25" hidden="1" thickBot="1">
      <c r="A1285" s="1614"/>
      <c r="B1285" s="4716"/>
      <c r="C1285" s="2749" t="s">
        <v>63</v>
      </c>
      <c r="D1285" s="2750" t="s">
        <v>766</v>
      </c>
      <c r="E1285" s="2506">
        <v>41452</v>
      </c>
      <c r="F1285" s="2506">
        <v>0</v>
      </c>
      <c r="G1285" s="2610"/>
      <c r="H1285" s="2508"/>
      <c r="I1285" s="1769" t="e">
        <f t="shared" si="257"/>
        <v>#DIV/0!</v>
      </c>
    </row>
    <row r="1286" spans="1:9" ht="13.5" hidden="1" thickBot="1">
      <c r="A1286" s="1614"/>
      <c r="B1286" s="4716"/>
      <c r="C1286" s="1688"/>
      <c r="D1286" s="1688"/>
      <c r="E1286" s="1638"/>
      <c r="F1286" s="1638"/>
      <c r="G1286" s="2610"/>
      <c r="H1286" s="2508"/>
      <c r="I1286" s="1769" t="e">
        <f t="shared" si="257"/>
        <v>#DIV/0!</v>
      </c>
    </row>
    <row r="1287" spans="1:9" ht="13.5" hidden="1" thickBot="1">
      <c r="A1287" s="1614"/>
      <c r="B1287" s="4716"/>
      <c r="C1287" s="4844" t="s">
        <v>769</v>
      </c>
      <c r="D1287" s="4844"/>
      <c r="E1287" s="2759">
        <f>SUM(E1288:E1291)</f>
        <v>85225</v>
      </c>
      <c r="F1287" s="2759">
        <f>SUM(F1288:F1291)</f>
        <v>0</v>
      </c>
      <c r="G1287" s="2610"/>
      <c r="H1287" s="2508"/>
      <c r="I1287" s="1769" t="e">
        <f t="shared" si="257"/>
        <v>#DIV/0!</v>
      </c>
    </row>
    <row r="1288" spans="1:9" ht="13.5" hidden="1" thickBot="1">
      <c r="A1288" s="1614"/>
      <c r="B1288" s="4716"/>
      <c r="C1288" s="2749" t="s">
        <v>22</v>
      </c>
      <c r="D1288" s="2750" t="s">
        <v>771</v>
      </c>
      <c r="E1288" s="2506">
        <v>2977</v>
      </c>
      <c r="F1288" s="2506">
        <v>0</v>
      </c>
      <c r="G1288" s="2610"/>
      <c r="H1288" s="2760"/>
      <c r="I1288" s="1769" t="e">
        <f t="shared" si="257"/>
        <v>#DIV/0!</v>
      </c>
    </row>
    <row r="1289" spans="1:9" ht="13.5" hidden="1" thickBot="1">
      <c r="A1289" s="1614"/>
      <c r="B1289" s="4716"/>
      <c r="C1289" s="2749" t="s">
        <v>329</v>
      </c>
      <c r="D1289" s="2750" t="s">
        <v>945</v>
      </c>
      <c r="E1289" s="2506">
        <v>2369</v>
      </c>
      <c r="F1289" s="2506">
        <v>0</v>
      </c>
      <c r="G1289" s="2610"/>
      <c r="H1289" s="2508"/>
      <c r="I1289" s="1769" t="e">
        <f t="shared" si="257"/>
        <v>#DIV/0!</v>
      </c>
    </row>
    <row r="1290" spans="1:9" ht="13.5" hidden="1" thickBot="1">
      <c r="A1290" s="1614"/>
      <c r="B1290" s="4716"/>
      <c r="C1290" s="2749" t="s">
        <v>317</v>
      </c>
      <c r="D1290" s="2750" t="s">
        <v>775</v>
      </c>
      <c r="E1290" s="2506">
        <v>1009</v>
      </c>
      <c r="F1290" s="2506">
        <v>0</v>
      </c>
      <c r="G1290" s="2610"/>
      <c r="H1290" s="2508"/>
      <c r="I1290" s="1769" t="e">
        <f t="shared" si="257"/>
        <v>#DIV/0!</v>
      </c>
    </row>
    <row r="1291" spans="1:9" ht="13.5" hidden="1" thickBot="1">
      <c r="A1291" s="1614"/>
      <c r="B1291" s="4716"/>
      <c r="C1291" s="2749" t="s">
        <v>319</v>
      </c>
      <c r="D1291" s="2750" t="s">
        <v>783</v>
      </c>
      <c r="E1291" s="2506">
        <v>78870</v>
      </c>
      <c r="F1291" s="2506">
        <v>0</v>
      </c>
      <c r="G1291" s="2610"/>
      <c r="H1291" s="2508"/>
      <c r="I1291" s="1769" t="e">
        <f t="shared" si="257"/>
        <v>#DIV/0!</v>
      </c>
    </row>
    <row r="1292" spans="1:9" ht="13.5" hidden="1" thickBot="1">
      <c r="A1292" s="1614"/>
      <c r="B1292" s="4716"/>
      <c r="C1292" s="1876"/>
      <c r="D1292" s="1877"/>
      <c r="E1292" s="1878"/>
      <c r="F1292" s="1878"/>
      <c r="G1292" s="2610"/>
      <c r="H1292" s="2508"/>
      <c r="I1292" s="1769" t="e">
        <f t="shared" si="257"/>
        <v>#DIV/0!</v>
      </c>
    </row>
    <row r="1293" spans="1:9" ht="13.5" hidden="1" thickBot="1">
      <c r="A1293" s="1614"/>
      <c r="B1293" s="4716"/>
      <c r="C1293" s="4644" t="s">
        <v>998</v>
      </c>
      <c r="D1293" s="4644"/>
      <c r="E1293" s="1661">
        <f t="shared" ref="E1293:F1293" si="269">E1294</f>
        <v>28080</v>
      </c>
      <c r="F1293" s="1661">
        <f t="shared" si="269"/>
        <v>0</v>
      </c>
      <c r="G1293" s="2610"/>
      <c r="H1293" s="2508"/>
      <c r="I1293" s="1769" t="e">
        <f t="shared" si="257"/>
        <v>#DIV/0!</v>
      </c>
    </row>
    <row r="1294" spans="1:9" ht="13.5" hidden="1" thickBot="1">
      <c r="A1294" s="1614"/>
      <c r="B1294" s="4716"/>
      <c r="C1294" s="2761" t="s">
        <v>314</v>
      </c>
      <c r="D1294" s="2639" t="s">
        <v>792</v>
      </c>
      <c r="E1294" s="2679">
        <v>28080</v>
      </c>
      <c r="F1294" s="2679">
        <v>0</v>
      </c>
      <c r="G1294" s="2166"/>
      <c r="H1294" s="2641"/>
      <c r="I1294" s="1725" t="e">
        <f t="shared" si="257"/>
        <v>#DIV/0!</v>
      </c>
    </row>
    <row r="1295" spans="1:9" ht="15.75" hidden="1" customHeight="1" thickBot="1">
      <c r="A1295" s="1614"/>
      <c r="B1295" s="2762" t="s">
        <v>1058</v>
      </c>
      <c r="C1295" s="2763"/>
      <c r="D1295" s="2764" t="s">
        <v>608</v>
      </c>
      <c r="E1295" s="2765">
        <f>E1296</f>
        <v>0</v>
      </c>
      <c r="F1295" s="2765">
        <f t="shared" ref="F1295:H1298" si="270">F1296</f>
        <v>0</v>
      </c>
      <c r="G1295" s="2765">
        <f t="shared" si="270"/>
        <v>0</v>
      </c>
      <c r="H1295" s="2766">
        <f t="shared" si="270"/>
        <v>0</v>
      </c>
      <c r="I1295" s="2169" t="e">
        <f t="shared" si="257"/>
        <v>#DIV/0!</v>
      </c>
    </row>
    <row r="1296" spans="1:9" ht="15.75" hidden="1" customHeight="1">
      <c r="A1296" s="1614"/>
      <c r="B1296" s="1627"/>
      <c r="C1296" s="4633" t="s">
        <v>760</v>
      </c>
      <c r="D1296" s="4633"/>
      <c r="E1296" s="1668">
        <f>E1297</f>
        <v>0</v>
      </c>
      <c r="F1296" s="1668">
        <f>F1297</f>
        <v>0</v>
      </c>
      <c r="G1296" s="1668">
        <f t="shared" si="270"/>
        <v>0</v>
      </c>
      <c r="H1296" s="1818">
        <f t="shared" si="270"/>
        <v>0</v>
      </c>
      <c r="I1296" s="1769" t="e">
        <f t="shared" si="257"/>
        <v>#DIV/0!</v>
      </c>
    </row>
    <row r="1297" spans="1:9" ht="15.75" hidden="1" customHeight="1">
      <c r="A1297" s="1614"/>
      <c r="B1297" s="1627"/>
      <c r="C1297" s="4839" t="s">
        <v>761</v>
      </c>
      <c r="D1297" s="4839"/>
      <c r="E1297" s="2679">
        <f>E1298</f>
        <v>0</v>
      </c>
      <c r="F1297" s="2679">
        <f>F1298</f>
        <v>0</v>
      </c>
      <c r="G1297" s="2679">
        <f t="shared" si="270"/>
        <v>0</v>
      </c>
      <c r="H1297" s="2641">
        <f t="shared" si="270"/>
        <v>0</v>
      </c>
      <c r="I1297" s="1769" t="e">
        <f t="shared" si="257"/>
        <v>#DIV/0!</v>
      </c>
    </row>
    <row r="1298" spans="1:9" ht="15.75" hidden="1" customHeight="1">
      <c r="A1298" s="1614"/>
      <c r="B1298" s="1627"/>
      <c r="C1298" s="4844" t="s">
        <v>769</v>
      </c>
      <c r="D1298" s="4844"/>
      <c r="E1298" s="2679">
        <f>E1299</f>
        <v>0</v>
      </c>
      <c r="F1298" s="2679">
        <f>F1299</f>
        <v>0</v>
      </c>
      <c r="G1298" s="2679">
        <f t="shared" si="270"/>
        <v>0</v>
      </c>
      <c r="H1298" s="2641">
        <f t="shared" si="270"/>
        <v>0</v>
      </c>
      <c r="I1298" s="1769" t="e">
        <f t="shared" si="257"/>
        <v>#DIV/0!</v>
      </c>
    </row>
    <row r="1299" spans="1:9" ht="15.75" hidden="1" customHeight="1" thickBot="1">
      <c r="A1299" s="1614"/>
      <c r="B1299" s="1627"/>
      <c r="C1299" s="2749" t="s">
        <v>329</v>
      </c>
      <c r="D1299" s="2750" t="s">
        <v>945</v>
      </c>
      <c r="E1299" s="1678"/>
      <c r="F1299" s="1678">
        <v>0</v>
      </c>
      <c r="G1299" s="2756"/>
      <c r="H1299" s="2508"/>
      <c r="I1299" s="1725" t="e">
        <f t="shared" si="257"/>
        <v>#DIV/0!</v>
      </c>
    </row>
    <row r="1300" spans="1:9" ht="17.100000000000001" customHeight="1" thickBot="1">
      <c r="A1300" s="1614"/>
      <c r="B1300" s="2691" t="s">
        <v>1059</v>
      </c>
      <c r="C1300" s="1727"/>
      <c r="D1300" s="1728" t="s">
        <v>1060</v>
      </c>
      <c r="E1300" s="2738">
        <f t="shared" ref="E1300:H1300" si="271">E1301</f>
        <v>673465</v>
      </c>
      <c r="F1300" s="2738">
        <f t="shared" si="271"/>
        <v>1366383</v>
      </c>
      <c r="G1300" s="2767">
        <f t="shared" si="271"/>
        <v>1369383</v>
      </c>
      <c r="H1300" s="2720">
        <f t="shared" si="271"/>
        <v>1262657.26</v>
      </c>
      <c r="I1300" s="2702">
        <f t="shared" si="257"/>
        <v>0.92206289986074019</v>
      </c>
    </row>
    <row r="1301" spans="1:9" ht="17.100000000000001" customHeight="1">
      <c r="A1301" s="1614"/>
      <c r="B1301" s="1779"/>
      <c r="C1301" s="4633" t="s">
        <v>760</v>
      </c>
      <c r="D1301" s="4633"/>
      <c r="E1301" s="2669">
        <f t="shared" ref="E1301:H1301" si="272">E1302+E1316</f>
        <v>673465</v>
      </c>
      <c r="F1301" s="1734">
        <f t="shared" si="272"/>
        <v>1366383</v>
      </c>
      <c r="G1301" s="1616">
        <f t="shared" si="272"/>
        <v>1369383</v>
      </c>
      <c r="H1301" s="1617">
        <f t="shared" si="272"/>
        <v>1262657.26</v>
      </c>
      <c r="I1301" s="1780">
        <f t="shared" si="257"/>
        <v>0.92206289986074019</v>
      </c>
    </row>
    <row r="1302" spans="1:9" ht="17.100000000000001" customHeight="1">
      <c r="A1302" s="1614"/>
      <c r="B1302" s="1779"/>
      <c r="C1302" s="4839" t="s">
        <v>761</v>
      </c>
      <c r="D1302" s="4839"/>
      <c r="E1302" s="2505">
        <f t="shared" ref="E1302:H1302" si="273">E1303+E1310</f>
        <v>673027</v>
      </c>
      <c r="F1302" s="2506">
        <f t="shared" si="273"/>
        <v>1365849</v>
      </c>
      <c r="G1302" s="2505">
        <f t="shared" si="273"/>
        <v>1368849</v>
      </c>
      <c r="H1302" s="2508">
        <f t="shared" si="273"/>
        <v>1262657.26</v>
      </c>
      <c r="I1302" s="1769">
        <f t="shared" si="257"/>
        <v>0.92242260468466575</v>
      </c>
    </row>
    <row r="1303" spans="1:9" ht="17.100000000000001" customHeight="1">
      <c r="A1303" s="1614"/>
      <c r="B1303" s="1779"/>
      <c r="C1303" s="4845" t="s">
        <v>762</v>
      </c>
      <c r="D1303" s="4845"/>
      <c r="E1303" s="2768">
        <f t="shared" ref="E1303" si="274">SUM(E1304:E1307)</f>
        <v>636317</v>
      </c>
      <c r="F1303" s="2759">
        <f>SUM(F1304:F1308)</f>
        <v>1310883</v>
      </c>
      <c r="G1303" s="2759">
        <f t="shared" ref="G1303:H1303" si="275">SUM(G1304:G1308)</f>
        <v>1313583</v>
      </c>
      <c r="H1303" s="2676">
        <f t="shared" si="275"/>
        <v>1209787.6599999999</v>
      </c>
      <c r="I1303" s="1783">
        <f t="shared" si="257"/>
        <v>0.92098303647352309</v>
      </c>
    </row>
    <row r="1304" spans="1:9" ht="17.100000000000001" customHeight="1">
      <c r="A1304" s="1614"/>
      <c r="B1304" s="1779"/>
      <c r="C1304" s="2749" t="s">
        <v>61</v>
      </c>
      <c r="D1304" s="2750" t="s">
        <v>763</v>
      </c>
      <c r="E1304" s="2505">
        <v>491199</v>
      </c>
      <c r="F1304" s="2506">
        <v>995723</v>
      </c>
      <c r="G1304" s="2756">
        <v>995723</v>
      </c>
      <c r="H1304" s="2508">
        <v>943479.86</v>
      </c>
      <c r="I1304" s="1769">
        <f t="shared" si="257"/>
        <v>0.94753245631566207</v>
      </c>
    </row>
    <row r="1305" spans="1:9" ht="17.100000000000001" customHeight="1">
      <c r="A1305" s="1614"/>
      <c r="B1305" s="1779"/>
      <c r="C1305" s="2749" t="s">
        <v>315</v>
      </c>
      <c r="D1305" s="2750" t="s">
        <v>764</v>
      </c>
      <c r="E1305" s="2505">
        <v>40632</v>
      </c>
      <c r="F1305" s="2506">
        <v>76584</v>
      </c>
      <c r="G1305" s="2756">
        <v>76584</v>
      </c>
      <c r="H1305" s="2508">
        <v>72820.52</v>
      </c>
      <c r="I1305" s="1769">
        <f t="shared" si="257"/>
        <v>0.95085814269299074</v>
      </c>
    </row>
    <row r="1306" spans="1:9" ht="17.100000000000001" customHeight="1">
      <c r="A1306" s="1627"/>
      <c r="B1306" s="1779"/>
      <c r="C1306" s="2662" t="s">
        <v>62</v>
      </c>
      <c r="D1306" s="2655" t="s">
        <v>765</v>
      </c>
      <c r="E1306" s="2505">
        <v>91393</v>
      </c>
      <c r="F1306" s="2506">
        <v>204393</v>
      </c>
      <c r="G1306" s="2610">
        <v>204393</v>
      </c>
      <c r="H1306" s="2508">
        <v>168118.09</v>
      </c>
      <c r="I1306" s="1769">
        <f t="shared" si="257"/>
        <v>0.82252371656563583</v>
      </c>
    </row>
    <row r="1307" spans="1:9" ht="27" customHeight="1">
      <c r="A1307" s="1614"/>
      <c r="B1307" s="1779"/>
      <c r="C1307" s="1695" t="s">
        <v>63</v>
      </c>
      <c r="D1307" s="1696" t="s">
        <v>766</v>
      </c>
      <c r="E1307" s="2134">
        <v>13093</v>
      </c>
      <c r="F1307" s="1668">
        <v>34183</v>
      </c>
      <c r="G1307" s="1881">
        <v>34183</v>
      </c>
      <c r="H1307" s="1663">
        <v>22669.19</v>
      </c>
      <c r="I1307" s="1769">
        <f t="shared" si="257"/>
        <v>0.66317145949741096</v>
      </c>
    </row>
    <row r="1308" spans="1:9" ht="17.25" customHeight="1">
      <c r="A1308" s="1614"/>
      <c r="B1308" s="1779"/>
      <c r="C1308" s="2543" t="s">
        <v>335</v>
      </c>
      <c r="D1308" s="2571" t="s">
        <v>768</v>
      </c>
      <c r="E1308" s="2756"/>
      <c r="F1308" s="2506">
        <v>0</v>
      </c>
      <c r="G1308" s="1881">
        <v>2700</v>
      </c>
      <c r="H1308" s="1663">
        <v>2700</v>
      </c>
      <c r="I1308" s="1769">
        <f t="shared" si="257"/>
        <v>1</v>
      </c>
    </row>
    <row r="1309" spans="1:9" ht="17.100000000000001" customHeight="1">
      <c r="A1309" s="1614"/>
      <c r="B1309" s="1779"/>
      <c r="C1309" s="1688"/>
      <c r="D1309" s="1688"/>
      <c r="E1309" s="2492"/>
      <c r="F1309" s="1638"/>
      <c r="G1309" s="2610"/>
      <c r="H1309" s="2508"/>
      <c r="I1309" s="1769"/>
    </row>
    <row r="1310" spans="1:9" ht="17.100000000000001" customHeight="1">
      <c r="A1310" s="1614"/>
      <c r="B1310" s="1779"/>
      <c r="C1310" s="4844" t="s">
        <v>769</v>
      </c>
      <c r="D1310" s="4844"/>
      <c r="E1310" s="2768">
        <f t="shared" ref="E1310:H1310" si="276">SUM(E1311:E1314)</f>
        <v>36710</v>
      </c>
      <c r="F1310" s="2759">
        <f t="shared" si="276"/>
        <v>54966</v>
      </c>
      <c r="G1310" s="2768">
        <f t="shared" si="276"/>
        <v>55266</v>
      </c>
      <c r="H1310" s="2676">
        <f t="shared" si="276"/>
        <v>52869.599999999999</v>
      </c>
      <c r="I1310" s="1783">
        <f t="shared" si="257"/>
        <v>0.95663880143306912</v>
      </c>
    </row>
    <row r="1311" spans="1:9" ht="17.100000000000001" customHeight="1">
      <c r="A1311" s="1614"/>
      <c r="B1311" s="1779"/>
      <c r="C1311" s="2749" t="s">
        <v>22</v>
      </c>
      <c r="D1311" s="2750" t="s">
        <v>771</v>
      </c>
      <c r="E1311" s="2505">
        <v>4223</v>
      </c>
      <c r="F1311" s="2506">
        <v>4192</v>
      </c>
      <c r="G1311" s="2610">
        <v>4192</v>
      </c>
      <c r="H1311" s="2508">
        <v>4191.76</v>
      </c>
      <c r="I1311" s="1769">
        <f t="shared" si="257"/>
        <v>0.99994274809160311</v>
      </c>
    </row>
    <row r="1312" spans="1:9" ht="17.100000000000001" customHeight="1">
      <c r="A1312" s="1614"/>
      <c r="B1312" s="1779"/>
      <c r="C1312" s="2749" t="s">
        <v>329</v>
      </c>
      <c r="D1312" s="2750" t="s">
        <v>945</v>
      </c>
      <c r="E1312" s="2505">
        <v>4030</v>
      </c>
      <c r="F1312" s="2506">
        <v>4030</v>
      </c>
      <c r="G1312" s="2610">
        <v>4030</v>
      </c>
      <c r="H1312" s="2508">
        <v>4030</v>
      </c>
      <c r="I1312" s="1769">
        <f t="shared" si="257"/>
        <v>1</v>
      </c>
    </row>
    <row r="1313" spans="1:9" ht="17.100000000000001" customHeight="1">
      <c r="A1313" s="1614"/>
      <c r="B1313" s="1779"/>
      <c r="C1313" s="2749" t="s">
        <v>317</v>
      </c>
      <c r="D1313" s="2750" t="s">
        <v>775</v>
      </c>
      <c r="E1313" s="2505">
        <v>387</v>
      </c>
      <c r="F1313" s="2506">
        <v>1396</v>
      </c>
      <c r="G1313" s="2610">
        <v>1696</v>
      </c>
      <c r="H1313" s="2508">
        <v>1405</v>
      </c>
      <c r="I1313" s="1769">
        <f t="shared" si="257"/>
        <v>0.82841981132075471</v>
      </c>
    </row>
    <row r="1314" spans="1:9" ht="17.100000000000001" customHeight="1">
      <c r="A1314" s="1638"/>
      <c r="B1314" s="1779"/>
      <c r="C1314" s="2662" t="s">
        <v>319</v>
      </c>
      <c r="D1314" s="2655" t="s">
        <v>783</v>
      </c>
      <c r="E1314" s="2505">
        <v>28070</v>
      </c>
      <c r="F1314" s="2506">
        <v>45348</v>
      </c>
      <c r="G1314" s="2756">
        <v>45348</v>
      </c>
      <c r="H1314" s="2508">
        <v>43242.84</v>
      </c>
      <c r="I1314" s="1769">
        <f t="shared" ref="I1314:I1383" si="277">H1314/G1314</f>
        <v>0.95357766604921934</v>
      </c>
    </row>
    <row r="1315" spans="1:9" ht="17.100000000000001" customHeight="1">
      <c r="A1315" s="1638"/>
      <c r="B1315" s="1779"/>
      <c r="C1315" s="2673"/>
      <c r="D1315" s="1960"/>
      <c r="E1315" s="2769"/>
      <c r="F1315" s="1961"/>
      <c r="G1315" s="1881"/>
      <c r="H1315" s="1663"/>
      <c r="I1315" s="1769"/>
    </row>
    <row r="1316" spans="1:9" ht="17.100000000000001" customHeight="1">
      <c r="A1316" s="1614"/>
      <c r="B1316" s="1890"/>
      <c r="C1316" s="4644" t="s">
        <v>998</v>
      </c>
      <c r="D1316" s="4660"/>
      <c r="E1316" s="2770">
        <f t="shared" ref="E1316:H1316" si="278">E1317</f>
        <v>438</v>
      </c>
      <c r="F1316" s="1661">
        <f t="shared" si="278"/>
        <v>534</v>
      </c>
      <c r="G1316" s="1760">
        <f t="shared" si="278"/>
        <v>534</v>
      </c>
      <c r="H1316" s="1663">
        <f t="shared" si="278"/>
        <v>0</v>
      </c>
      <c r="I1316" s="1769">
        <f t="shared" si="277"/>
        <v>0</v>
      </c>
    </row>
    <row r="1317" spans="1:9" ht="17.100000000000001" customHeight="1" thickBot="1">
      <c r="A1317" s="1627"/>
      <c r="B1317" s="2509"/>
      <c r="C1317" s="2646" t="s">
        <v>314</v>
      </c>
      <c r="D1317" s="2647" t="s">
        <v>792</v>
      </c>
      <c r="E1317" s="1745">
        <v>438</v>
      </c>
      <c r="F1317" s="1678">
        <v>534</v>
      </c>
      <c r="G1317" s="1921">
        <v>534</v>
      </c>
      <c r="H1317" s="1747">
        <v>0</v>
      </c>
      <c r="I1317" s="1725">
        <f t="shared" si="277"/>
        <v>0</v>
      </c>
    </row>
    <row r="1318" spans="1:9" ht="17.100000000000001" customHeight="1" thickBot="1">
      <c r="A1318" s="1614"/>
      <c r="B1318" s="1794" t="s">
        <v>1061</v>
      </c>
      <c r="C1318" s="1795"/>
      <c r="D1318" s="1796" t="s">
        <v>361</v>
      </c>
      <c r="E1318" s="1797">
        <f>SUM(E1319,E1374)</f>
        <v>17265873</v>
      </c>
      <c r="F1318" s="1797">
        <f t="shared" ref="F1318:H1318" si="279">SUM(F1319,F1374)</f>
        <v>18979472</v>
      </c>
      <c r="G1318" s="1934">
        <f t="shared" si="279"/>
        <v>18459983</v>
      </c>
      <c r="H1318" s="1935">
        <f t="shared" si="279"/>
        <v>18113690.200000003</v>
      </c>
      <c r="I1318" s="2702">
        <f t="shared" si="277"/>
        <v>0.98124089280038895</v>
      </c>
    </row>
    <row r="1319" spans="1:9" ht="17.100000000000001" customHeight="1">
      <c r="A1319" s="1614"/>
      <c r="B1319" s="1627"/>
      <c r="C1319" s="4633" t="s">
        <v>760</v>
      </c>
      <c r="D1319" s="4633"/>
      <c r="E1319" s="1615">
        <f>E1320+E1352+E1356</f>
        <v>17240873</v>
      </c>
      <c r="F1319" s="1615">
        <f>F1320+F1352+F1356+F1349</f>
        <v>18936322</v>
      </c>
      <c r="G1319" s="1615">
        <f t="shared" ref="G1319:H1319" si="280">G1320+G1352+G1356+G1349</f>
        <v>18416833</v>
      </c>
      <c r="H1319" s="1617">
        <f t="shared" si="280"/>
        <v>18072080.780000001</v>
      </c>
      <c r="I1319" s="1780">
        <f t="shared" si="277"/>
        <v>0.98128059151103786</v>
      </c>
    </row>
    <row r="1320" spans="1:9" ht="17.100000000000001" customHeight="1">
      <c r="A1320" s="1614"/>
      <c r="B1320" s="1627"/>
      <c r="C1320" s="4839" t="s">
        <v>761</v>
      </c>
      <c r="D1320" s="4839"/>
      <c r="E1320" s="2506">
        <f>E1321+E1329</f>
        <v>16809375</v>
      </c>
      <c r="F1320" s="2506">
        <f>F1321+F1329</f>
        <v>18886932</v>
      </c>
      <c r="G1320" s="2505">
        <f>G1321+G1329</f>
        <v>17570357</v>
      </c>
      <c r="H1320" s="2508">
        <f>H1321+H1329</f>
        <v>17247030.870000001</v>
      </c>
      <c r="I1320" s="1769">
        <f t="shared" si="277"/>
        <v>0.98159820372460282</v>
      </c>
    </row>
    <row r="1321" spans="1:9" ht="17.100000000000001" customHeight="1">
      <c r="A1321" s="1614"/>
      <c r="B1321" s="1627"/>
      <c r="C1321" s="4845" t="s">
        <v>762</v>
      </c>
      <c r="D1321" s="4845"/>
      <c r="E1321" s="2759">
        <f t="shared" ref="E1321" si="281">SUM(E1322:E1326)</f>
        <v>14702280</v>
      </c>
      <c r="F1321" s="2759">
        <f>SUM(F1322:F1327)</f>
        <v>15512202</v>
      </c>
      <c r="G1321" s="2759">
        <f t="shared" ref="G1321:H1321" si="282">SUM(G1322:G1327)</f>
        <v>14218939</v>
      </c>
      <c r="H1321" s="2676">
        <f t="shared" si="282"/>
        <v>13933417.140000001</v>
      </c>
      <c r="I1321" s="1783">
        <f t="shared" si="277"/>
        <v>0.9799196086290265</v>
      </c>
    </row>
    <row r="1322" spans="1:9" ht="17.100000000000001" customHeight="1">
      <c r="A1322" s="1614"/>
      <c r="B1322" s="1627"/>
      <c r="C1322" s="2749" t="s">
        <v>61</v>
      </c>
      <c r="D1322" s="2750" t="s">
        <v>763</v>
      </c>
      <c r="E1322" s="2506">
        <v>11387554</v>
      </c>
      <c r="F1322" s="2506">
        <v>12060743</v>
      </c>
      <c r="G1322" s="2610">
        <v>11072783</v>
      </c>
      <c r="H1322" s="2508">
        <v>10911795.9</v>
      </c>
      <c r="I1322" s="1769">
        <f t="shared" si="277"/>
        <v>0.98546100831200256</v>
      </c>
    </row>
    <row r="1323" spans="1:9" ht="17.100000000000001" customHeight="1">
      <c r="A1323" s="1614"/>
      <c r="B1323" s="1627"/>
      <c r="C1323" s="2749" t="s">
        <v>315</v>
      </c>
      <c r="D1323" s="2750" t="s">
        <v>764</v>
      </c>
      <c r="E1323" s="2506">
        <v>928959</v>
      </c>
      <c r="F1323" s="2506">
        <v>916314</v>
      </c>
      <c r="G1323" s="2610">
        <v>857029</v>
      </c>
      <c r="H1323" s="2508">
        <v>853094.91</v>
      </c>
      <c r="I1323" s="1769">
        <f t="shared" si="277"/>
        <v>0.99540961857766774</v>
      </c>
    </row>
    <row r="1324" spans="1:9" ht="17.100000000000001" customHeight="1">
      <c r="A1324" s="1614"/>
      <c r="B1324" s="1627"/>
      <c r="C1324" s="2662" t="s">
        <v>62</v>
      </c>
      <c r="D1324" s="2655" t="s">
        <v>765</v>
      </c>
      <c r="E1324" s="2506">
        <v>2061490</v>
      </c>
      <c r="F1324" s="2506">
        <v>2200969</v>
      </c>
      <c r="G1324" s="2610">
        <v>2037128</v>
      </c>
      <c r="H1324" s="2508">
        <v>1942024.71</v>
      </c>
      <c r="I1324" s="1769">
        <f t="shared" si="277"/>
        <v>0.95331501506041838</v>
      </c>
    </row>
    <row r="1325" spans="1:9" ht="26.25" customHeight="1">
      <c r="A1325" s="1614"/>
      <c r="B1325" s="1627"/>
      <c r="C1325" s="1659" t="s">
        <v>63</v>
      </c>
      <c r="D1325" s="1660" t="s">
        <v>766</v>
      </c>
      <c r="E1325" s="1661">
        <v>276357</v>
      </c>
      <c r="F1325" s="1661">
        <v>291216</v>
      </c>
      <c r="G1325" s="1881">
        <v>200509</v>
      </c>
      <c r="H1325" s="1663">
        <v>181375.65</v>
      </c>
      <c r="I1325" s="1769">
        <f t="shared" si="277"/>
        <v>0.90457610381578879</v>
      </c>
    </row>
    <row r="1326" spans="1:9" ht="17.100000000000001" customHeight="1">
      <c r="A1326" s="1614"/>
      <c r="B1326" s="1627"/>
      <c r="C1326" s="2662" t="s">
        <v>324</v>
      </c>
      <c r="D1326" s="2771" t="s">
        <v>767</v>
      </c>
      <c r="E1326" s="2506">
        <v>47920</v>
      </c>
      <c r="F1326" s="2506">
        <v>42960</v>
      </c>
      <c r="G1326" s="2610">
        <v>35100</v>
      </c>
      <c r="H1326" s="2508">
        <v>35001</v>
      </c>
      <c r="I1326" s="1769">
        <f t="shared" si="277"/>
        <v>0.99717948717948723</v>
      </c>
    </row>
    <row r="1327" spans="1:9" ht="17.100000000000001" customHeight="1" thickBot="1">
      <c r="A1327" s="1644"/>
      <c r="B1327" s="1645"/>
      <c r="C1327" s="2772" t="s">
        <v>335</v>
      </c>
      <c r="D1327" s="2547" t="s">
        <v>768</v>
      </c>
      <c r="E1327" s="1678"/>
      <c r="F1327" s="1678">
        <v>0</v>
      </c>
      <c r="G1327" s="1921">
        <v>16390</v>
      </c>
      <c r="H1327" s="1747">
        <v>10124.969999999999</v>
      </c>
      <c r="I1327" s="1651">
        <f t="shared" si="277"/>
        <v>0.61775289810860279</v>
      </c>
    </row>
    <row r="1328" spans="1:9" ht="12.75" customHeight="1">
      <c r="A1328" s="1614"/>
      <c r="B1328" s="1627"/>
      <c r="C1328" s="2773"/>
      <c r="D1328" s="2773"/>
      <c r="E1328" s="2774"/>
      <c r="F1328" s="2774"/>
      <c r="G1328" s="1881"/>
      <c r="H1328" s="1663"/>
      <c r="I1328" s="1769"/>
    </row>
    <row r="1329" spans="1:9" ht="17.100000000000001" customHeight="1">
      <c r="A1329" s="1614"/>
      <c r="B1329" s="1627"/>
      <c r="C1329" s="4844" t="s">
        <v>769</v>
      </c>
      <c r="D1329" s="4844"/>
      <c r="E1329" s="2775">
        <f>SUM(E1330:E1347)</f>
        <v>2107095</v>
      </c>
      <c r="F1329" s="2775">
        <f t="shared" ref="F1329:H1329" si="283">SUM(F1330:F1347)</f>
        <v>3374730</v>
      </c>
      <c r="G1329" s="2776">
        <f t="shared" si="283"/>
        <v>3351418</v>
      </c>
      <c r="H1329" s="2777">
        <f t="shared" si="283"/>
        <v>3313613.7300000004</v>
      </c>
      <c r="I1329" s="1783">
        <f t="shared" si="277"/>
        <v>0.98871991795711556</v>
      </c>
    </row>
    <row r="1330" spans="1:9" ht="29.25" customHeight="1">
      <c r="A1330" s="1614"/>
      <c r="B1330" s="1627"/>
      <c r="C1330" s="2749" t="s">
        <v>332</v>
      </c>
      <c r="D1330" s="2750" t="s">
        <v>770</v>
      </c>
      <c r="E1330" s="2506">
        <v>29600</v>
      </c>
      <c r="F1330" s="2506">
        <v>28100</v>
      </c>
      <c r="G1330" s="2610">
        <v>4000</v>
      </c>
      <c r="H1330" s="2760">
        <v>3351</v>
      </c>
      <c r="I1330" s="1769">
        <f t="shared" si="277"/>
        <v>0.83774999999999999</v>
      </c>
    </row>
    <row r="1331" spans="1:9" ht="17.100000000000001" customHeight="1">
      <c r="A1331" s="1614"/>
      <c r="B1331" s="1627"/>
      <c r="C1331" s="2749" t="s">
        <v>22</v>
      </c>
      <c r="D1331" s="2750" t="s">
        <v>771</v>
      </c>
      <c r="E1331" s="2506">
        <v>169546</v>
      </c>
      <c r="F1331" s="2506">
        <v>164445</v>
      </c>
      <c r="G1331" s="2610">
        <v>176464</v>
      </c>
      <c r="H1331" s="2760">
        <v>176380.23</v>
      </c>
      <c r="I1331" s="1769">
        <f t="shared" si="277"/>
        <v>0.99952528561066289</v>
      </c>
    </row>
    <row r="1332" spans="1:9" ht="17.100000000000001" customHeight="1">
      <c r="A1332" s="1614"/>
      <c r="B1332" s="1627"/>
      <c r="C1332" s="2749" t="s">
        <v>329</v>
      </c>
      <c r="D1332" s="2750" t="s">
        <v>945</v>
      </c>
      <c r="E1332" s="2506">
        <v>101400</v>
      </c>
      <c r="F1332" s="2506">
        <v>84600</v>
      </c>
      <c r="G1332" s="2610">
        <v>93500</v>
      </c>
      <c r="H1332" s="2760">
        <v>93135.55</v>
      </c>
      <c r="I1332" s="1769">
        <f t="shared" si="277"/>
        <v>0.99610213903743317</v>
      </c>
    </row>
    <row r="1333" spans="1:9" ht="17.100000000000001" customHeight="1">
      <c r="A1333" s="1614"/>
      <c r="B1333" s="1627"/>
      <c r="C1333" s="2749" t="s">
        <v>316</v>
      </c>
      <c r="D1333" s="2750" t="s">
        <v>773</v>
      </c>
      <c r="E1333" s="2506">
        <v>591193</v>
      </c>
      <c r="F1333" s="2506">
        <v>553284</v>
      </c>
      <c r="G1333" s="2610">
        <v>667962</v>
      </c>
      <c r="H1333" s="2760">
        <v>659344.79</v>
      </c>
      <c r="I1333" s="1769">
        <f t="shared" si="277"/>
        <v>0.98709925115500585</v>
      </c>
    </row>
    <row r="1334" spans="1:9" ht="17.100000000000001" customHeight="1">
      <c r="A1334" s="1614"/>
      <c r="B1334" s="1627"/>
      <c r="C1334" s="2654" t="s">
        <v>87</v>
      </c>
      <c r="D1334" s="2655" t="s">
        <v>774</v>
      </c>
      <c r="E1334" s="2506">
        <v>133140</v>
      </c>
      <c r="F1334" s="2506">
        <v>1225710</v>
      </c>
      <c r="G1334" s="2756">
        <v>1165515</v>
      </c>
      <c r="H1334" s="2508">
        <v>1164442.55</v>
      </c>
      <c r="I1334" s="1769">
        <f t="shared" si="277"/>
        <v>0.99907984882219447</v>
      </c>
    </row>
    <row r="1335" spans="1:9" ht="17.100000000000001" customHeight="1">
      <c r="A1335" s="1614"/>
      <c r="B1335" s="1627"/>
      <c r="C1335" s="1659" t="s">
        <v>317</v>
      </c>
      <c r="D1335" s="1660" t="s">
        <v>775</v>
      </c>
      <c r="E1335" s="1661">
        <v>16439</v>
      </c>
      <c r="F1335" s="1661">
        <v>14288</v>
      </c>
      <c r="G1335" s="1662">
        <v>13178</v>
      </c>
      <c r="H1335" s="1663">
        <v>9890.7000000000007</v>
      </c>
      <c r="I1335" s="1664">
        <f t="shared" si="277"/>
        <v>0.75054636515404471</v>
      </c>
    </row>
    <row r="1336" spans="1:9" ht="17.100000000000001" customHeight="1">
      <c r="A1336" s="1614"/>
      <c r="B1336" s="1627"/>
      <c r="C1336" s="2749" t="s">
        <v>23</v>
      </c>
      <c r="D1336" s="2750" t="s">
        <v>776</v>
      </c>
      <c r="E1336" s="2506">
        <v>367778</v>
      </c>
      <c r="F1336" s="2506">
        <v>409398</v>
      </c>
      <c r="G1336" s="2610">
        <v>410570</v>
      </c>
      <c r="H1336" s="2508">
        <v>395472.78</v>
      </c>
      <c r="I1336" s="1664">
        <f t="shared" si="277"/>
        <v>0.96322863336337294</v>
      </c>
    </row>
    <row r="1337" spans="1:9" ht="27" customHeight="1">
      <c r="A1337" s="1614"/>
      <c r="B1337" s="1627"/>
      <c r="C1337" s="2749" t="s">
        <v>1062</v>
      </c>
      <c r="D1337" s="2750" t="s">
        <v>1063</v>
      </c>
      <c r="E1337" s="2506">
        <v>0</v>
      </c>
      <c r="F1337" s="2506">
        <v>237000</v>
      </c>
      <c r="G1337" s="2610">
        <v>263542</v>
      </c>
      <c r="H1337" s="2508">
        <v>263541.42</v>
      </c>
      <c r="I1337" s="1664">
        <f t="shared" si="277"/>
        <v>0.99999779921226972</v>
      </c>
    </row>
    <row r="1338" spans="1:9" ht="16.5" customHeight="1">
      <c r="A1338" s="1614"/>
      <c r="B1338" s="1627"/>
      <c r="C1338" s="2749" t="s">
        <v>318</v>
      </c>
      <c r="D1338" s="2750" t="s">
        <v>777</v>
      </c>
      <c r="E1338" s="2506">
        <v>27890</v>
      </c>
      <c r="F1338" s="2506">
        <v>24102</v>
      </c>
      <c r="G1338" s="2610">
        <v>21496</v>
      </c>
      <c r="H1338" s="2508">
        <v>18653.990000000002</v>
      </c>
      <c r="I1338" s="1664">
        <f t="shared" si="277"/>
        <v>0.86778889095645706</v>
      </c>
    </row>
    <row r="1339" spans="1:9" ht="16.5" customHeight="1">
      <c r="A1339" s="1614"/>
      <c r="B1339" s="1627"/>
      <c r="C1339" s="2749" t="s">
        <v>327</v>
      </c>
      <c r="D1339" s="2750" t="s">
        <v>778</v>
      </c>
      <c r="E1339" s="2506">
        <v>1580</v>
      </c>
      <c r="F1339" s="2506">
        <v>1080</v>
      </c>
      <c r="G1339" s="2610">
        <v>200</v>
      </c>
      <c r="H1339" s="2508">
        <v>50</v>
      </c>
      <c r="I1339" s="1664">
        <f t="shared" si="277"/>
        <v>0.25</v>
      </c>
    </row>
    <row r="1340" spans="1:9" ht="27.75" customHeight="1">
      <c r="A1340" s="1614"/>
      <c r="B1340" s="1627"/>
      <c r="C1340" s="2749" t="s">
        <v>779</v>
      </c>
      <c r="D1340" s="2750" t="s">
        <v>780</v>
      </c>
      <c r="E1340" s="2506">
        <v>9042</v>
      </c>
      <c r="F1340" s="2506">
        <v>2400</v>
      </c>
      <c r="G1340" s="2610">
        <v>2400</v>
      </c>
      <c r="H1340" s="2508">
        <v>2400</v>
      </c>
      <c r="I1340" s="1664">
        <f t="shared" si="277"/>
        <v>1</v>
      </c>
    </row>
    <row r="1341" spans="1:9" ht="17.100000000000001" customHeight="1">
      <c r="A1341" s="1638"/>
      <c r="B1341" s="1638"/>
      <c r="C1341" s="2662" t="s">
        <v>328</v>
      </c>
      <c r="D1341" s="2655" t="s">
        <v>781</v>
      </c>
      <c r="E1341" s="2506">
        <v>17840</v>
      </c>
      <c r="F1341" s="2506">
        <v>18040</v>
      </c>
      <c r="G1341" s="2756">
        <v>11589</v>
      </c>
      <c r="H1341" s="2508">
        <v>8973.57</v>
      </c>
      <c r="I1341" s="1664">
        <f t="shared" si="277"/>
        <v>0.77431788765208387</v>
      </c>
    </row>
    <row r="1342" spans="1:9" ht="17.100000000000001" customHeight="1">
      <c r="A1342" s="1638"/>
      <c r="B1342" s="1638"/>
      <c r="C1342" s="1659" t="s">
        <v>333</v>
      </c>
      <c r="D1342" s="1660" t="s">
        <v>782</v>
      </c>
      <c r="E1342" s="1661">
        <v>23170</v>
      </c>
      <c r="F1342" s="1661">
        <v>22370</v>
      </c>
      <c r="G1342" s="1881">
        <v>19973</v>
      </c>
      <c r="H1342" s="1663">
        <v>18766.759999999998</v>
      </c>
      <c r="I1342" s="1769">
        <f t="shared" si="277"/>
        <v>0.93960646873278919</v>
      </c>
    </row>
    <row r="1343" spans="1:9" ht="17.100000000000001" customHeight="1">
      <c r="A1343" s="1614"/>
      <c r="B1343" s="1627"/>
      <c r="C1343" s="2749" t="s">
        <v>319</v>
      </c>
      <c r="D1343" s="2750" t="s">
        <v>783</v>
      </c>
      <c r="E1343" s="2506">
        <v>577263</v>
      </c>
      <c r="F1343" s="2506">
        <v>561664</v>
      </c>
      <c r="G1343" s="2756">
        <v>475423</v>
      </c>
      <c r="H1343" s="2508">
        <v>475031.37</v>
      </c>
      <c r="I1343" s="1769">
        <f t="shared" si="277"/>
        <v>0.99917624936109528</v>
      </c>
    </row>
    <row r="1344" spans="1:9" ht="17.100000000000001" hidden="1" customHeight="1">
      <c r="A1344" s="1614"/>
      <c r="B1344" s="1627"/>
      <c r="C1344" s="2749" t="s">
        <v>785</v>
      </c>
      <c r="D1344" s="2750" t="s">
        <v>786</v>
      </c>
      <c r="E1344" s="2506">
        <v>79</v>
      </c>
      <c r="F1344" s="2506"/>
      <c r="G1344" s="2756"/>
      <c r="H1344" s="2508"/>
      <c r="I1344" s="1769" t="e">
        <f t="shared" si="277"/>
        <v>#DIV/0!</v>
      </c>
    </row>
    <row r="1345" spans="1:9" ht="17.100000000000001" customHeight="1">
      <c r="A1345" s="1614"/>
      <c r="B1345" s="1627"/>
      <c r="C1345" s="2749" t="s">
        <v>334</v>
      </c>
      <c r="D1345" s="2750" t="s">
        <v>1064</v>
      </c>
      <c r="E1345" s="2506">
        <v>28295</v>
      </c>
      <c r="F1345" s="2506">
        <v>15088</v>
      </c>
      <c r="G1345" s="2610">
        <v>12088</v>
      </c>
      <c r="H1345" s="2508">
        <v>11983.02</v>
      </c>
      <c r="I1345" s="1769">
        <f t="shared" si="277"/>
        <v>0.99131535407015225</v>
      </c>
    </row>
    <row r="1346" spans="1:9" ht="17.100000000000001" customHeight="1">
      <c r="A1346" s="1614"/>
      <c r="B1346" s="1627"/>
      <c r="C1346" s="2749" t="s">
        <v>848</v>
      </c>
      <c r="D1346" s="2750" t="s">
        <v>1065</v>
      </c>
      <c r="E1346" s="2506"/>
      <c r="F1346" s="2506">
        <v>0</v>
      </c>
      <c r="G1346" s="2610">
        <v>1500</v>
      </c>
      <c r="H1346" s="2508">
        <v>1017</v>
      </c>
      <c r="I1346" s="1769">
        <f t="shared" si="277"/>
        <v>0.67800000000000005</v>
      </c>
    </row>
    <row r="1347" spans="1:9" ht="27" customHeight="1">
      <c r="A1347" s="1614"/>
      <c r="B1347" s="1627"/>
      <c r="C1347" s="2749" t="s">
        <v>64</v>
      </c>
      <c r="D1347" s="2750" t="s">
        <v>790</v>
      </c>
      <c r="E1347" s="2506">
        <v>12840</v>
      </c>
      <c r="F1347" s="2506">
        <v>13161</v>
      </c>
      <c r="G1347" s="2610">
        <v>12018</v>
      </c>
      <c r="H1347" s="2760">
        <v>11179</v>
      </c>
      <c r="I1347" s="1769">
        <f t="shared" si="277"/>
        <v>0.93018805125644866</v>
      </c>
    </row>
    <row r="1348" spans="1:9" ht="12.75" customHeight="1">
      <c r="A1348" s="1614"/>
      <c r="B1348" s="1627"/>
      <c r="C1348" s="1876"/>
      <c r="D1348" s="1877"/>
      <c r="E1348" s="1878"/>
      <c r="F1348" s="1878"/>
      <c r="G1348" s="2610"/>
      <c r="H1348" s="2760"/>
      <c r="I1348" s="1769"/>
    </row>
    <row r="1349" spans="1:9" ht="15" customHeight="1">
      <c r="A1349" s="2745"/>
      <c r="B1349" s="1627"/>
      <c r="C1349" s="4839" t="s">
        <v>838</v>
      </c>
      <c r="D1349" s="4839"/>
      <c r="E1349" s="2506" t="e">
        <f>#REF!+E1352</f>
        <v>#REF!</v>
      </c>
      <c r="F1349" s="2506">
        <f>F1350</f>
        <v>0</v>
      </c>
      <c r="G1349" s="2506">
        <f t="shared" ref="G1349:H1349" si="284">G1350</f>
        <v>340000</v>
      </c>
      <c r="H1349" s="2508">
        <f t="shared" si="284"/>
        <v>340000</v>
      </c>
      <c r="I1349" s="1769">
        <f t="shared" ref="I1349:I1350" si="285">H1349/G1349</f>
        <v>1</v>
      </c>
    </row>
    <row r="1350" spans="1:9" ht="42" customHeight="1">
      <c r="A1350" s="1614"/>
      <c r="B1350" s="1627"/>
      <c r="C1350" s="2778" t="s">
        <v>86</v>
      </c>
      <c r="D1350" s="2779" t="s">
        <v>941</v>
      </c>
      <c r="E1350" s="2506"/>
      <c r="F1350" s="2506">
        <v>0</v>
      </c>
      <c r="G1350" s="2610">
        <v>340000</v>
      </c>
      <c r="H1350" s="2508">
        <v>340000</v>
      </c>
      <c r="I1350" s="1769">
        <f t="shared" si="285"/>
        <v>1</v>
      </c>
    </row>
    <row r="1351" spans="1:9" ht="18" customHeight="1">
      <c r="A1351" s="1614"/>
      <c r="B1351" s="1627"/>
      <c r="C1351" s="2780"/>
      <c r="D1351" s="2781"/>
      <c r="E1351" s="2506"/>
      <c r="F1351" s="2506"/>
      <c r="G1351" s="2591"/>
      <c r="H1351" s="2508"/>
      <c r="I1351" s="2782"/>
    </row>
    <row r="1352" spans="1:9" ht="17.100000000000001" customHeight="1">
      <c r="A1352" s="1614"/>
      <c r="B1352" s="1627"/>
      <c r="C1352" s="4644" t="s">
        <v>998</v>
      </c>
      <c r="D1352" s="4644"/>
      <c r="E1352" s="1661">
        <f>E1353+E1354</f>
        <v>303530</v>
      </c>
      <c r="F1352" s="1661">
        <f t="shared" ref="F1352:H1352" si="286">F1353+F1354</f>
        <v>49390</v>
      </c>
      <c r="G1352" s="1760">
        <f t="shared" si="286"/>
        <v>506476</v>
      </c>
      <c r="H1352" s="1663">
        <f t="shared" si="286"/>
        <v>485049.91000000003</v>
      </c>
      <c r="I1352" s="1769">
        <f t="shared" si="277"/>
        <v>0.9576957447144584</v>
      </c>
    </row>
    <row r="1353" spans="1:9" ht="17.100000000000001" customHeight="1" thickBot="1">
      <c r="A1353" s="1644"/>
      <c r="B1353" s="1645"/>
      <c r="C1353" s="2783" t="s">
        <v>314</v>
      </c>
      <c r="D1353" s="2784" t="s">
        <v>792</v>
      </c>
      <c r="E1353" s="1678">
        <v>68530</v>
      </c>
      <c r="F1353" s="1678">
        <v>49390</v>
      </c>
      <c r="G1353" s="2785">
        <v>143976</v>
      </c>
      <c r="H1353" s="1747">
        <v>122549.91</v>
      </c>
      <c r="I1353" s="1651">
        <f t="shared" si="277"/>
        <v>0.85118290548424735</v>
      </c>
    </row>
    <row r="1354" spans="1:9" ht="16.5" customHeight="1">
      <c r="A1354" s="1614"/>
      <c r="B1354" s="1627"/>
      <c r="C1354" s="1959" t="s">
        <v>1066</v>
      </c>
      <c r="D1354" s="1905" t="s">
        <v>1067</v>
      </c>
      <c r="E1354" s="1661">
        <v>235000</v>
      </c>
      <c r="F1354" s="1661">
        <v>0</v>
      </c>
      <c r="G1354" s="1881">
        <v>362500</v>
      </c>
      <c r="H1354" s="1663">
        <v>362500</v>
      </c>
      <c r="I1354" s="1769">
        <f t="shared" si="277"/>
        <v>1</v>
      </c>
    </row>
    <row r="1355" spans="1:9">
      <c r="A1355" s="1614"/>
      <c r="B1355" s="1627"/>
      <c r="C1355" s="2786"/>
      <c r="D1355" s="2787"/>
      <c r="E1355" s="2788"/>
      <c r="F1355" s="2788"/>
      <c r="G1355" s="2789"/>
      <c r="H1355" s="2790"/>
      <c r="I1355" s="1769"/>
    </row>
    <row r="1356" spans="1:9" ht="17.100000000000001" hidden="1" customHeight="1">
      <c r="A1356" s="1614"/>
      <c r="B1356" s="1627"/>
      <c r="C1356" s="4840" t="s">
        <v>803</v>
      </c>
      <c r="D1356" s="4841"/>
      <c r="E1356" s="2791">
        <f>SUM(E1357:E1372)</f>
        <v>127968</v>
      </c>
      <c r="F1356" s="2791">
        <f t="shared" ref="F1356" si="287">SUM(F1357:F1372)</f>
        <v>0</v>
      </c>
      <c r="G1356" s="2789"/>
      <c r="H1356" s="2790"/>
      <c r="I1356" s="1664" t="e">
        <f t="shared" si="277"/>
        <v>#DIV/0!</v>
      </c>
    </row>
    <row r="1357" spans="1:9" ht="17.100000000000001" hidden="1" customHeight="1">
      <c r="A1357" s="1614"/>
      <c r="B1357" s="1627"/>
      <c r="C1357" s="2792" t="s">
        <v>1068</v>
      </c>
      <c r="D1357" s="2793" t="s">
        <v>1067</v>
      </c>
      <c r="E1357" s="2794">
        <v>48501</v>
      </c>
      <c r="F1357" s="2794">
        <v>0</v>
      </c>
      <c r="G1357" s="2789"/>
      <c r="H1357" s="2795"/>
      <c r="I1357" s="1769" t="e">
        <f t="shared" si="277"/>
        <v>#DIV/0!</v>
      </c>
    </row>
    <row r="1358" spans="1:9" ht="17.100000000000001" hidden="1" customHeight="1">
      <c r="A1358" s="1614"/>
      <c r="B1358" s="1627"/>
      <c r="C1358" s="2792" t="s">
        <v>1069</v>
      </c>
      <c r="D1358" s="2793" t="s">
        <v>1067</v>
      </c>
      <c r="E1358" s="2794">
        <v>5359</v>
      </c>
      <c r="F1358" s="2794">
        <v>0</v>
      </c>
      <c r="G1358" s="2789"/>
      <c r="H1358" s="2795"/>
      <c r="I1358" s="1769" t="e">
        <f t="shared" si="277"/>
        <v>#DIV/0!</v>
      </c>
    </row>
    <row r="1359" spans="1:9" ht="17.100000000000001" hidden="1" customHeight="1">
      <c r="A1359" s="1614"/>
      <c r="B1359" s="1627"/>
      <c r="C1359" s="2792" t="s">
        <v>859</v>
      </c>
      <c r="D1359" s="1691" t="s">
        <v>763</v>
      </c>
      <c r="E1359" s="2794">
        <v>10831</v>
      </c>
      <c r="F1359" s="2794">
        <v>0</v>
      </c>
      <c r="G1359" s="2789"/>
      <c r="H1359" s="2795"/>
      <c r="I1359" s="1769" t="e">
        <f t="shared" si="277"/>
        <v>#DIV/0!</v>
      </c>
    </row>
    <row r="1360" spans="1:9" ht="17.100000000000001" hidden="1" customHeight="1">
      <c r="A1360" s="1614"/>
      <c r="B1360" s="1627"/>
      <c r="C1360" s="2792" t="s">
        <v>808</v>
      </c>
      <c r="D1360" s="1691" t="s">
        <v>763</v>
      </c>
      <c r="E1360" s="2794">
        <v>10831</v>
      </c>
      <c r="F1360" s="2794">
        <v>0</v>
      </c>
      <c r="G1360" s="2789"/>
      <c r="H1360" s="2795"/>
      <c r="I1360" s="1769" t="e">
        <f t="shared" si="277"/>
        <v>#DIV/0!</v>
      </c>
    </row>
    <row r="1361" spans="1:9" ht="17.100000000000001" hidden="1" customHeight="1">
      <c r="A1361" s="1614"/>
      <c r="B1361" s="1627"/>
      <c r="C1361" s="2792" t="s">
        <v>861</v>
      </c>
      <c r="D1361" s="2796" t="s">
        <v>765</v>
      </c>
      <c r="E1361" s="2794">
        <v>15863</v>
      </c>
      <c r="F1361" s="2794">
        <v>0</v>
      </c>
      <c r="G1361" s="2789"/>
      <c r="H1361" s="2795"/>
      <c r="I1361" s="1769" t="e">
        <f t="shared" si="277"/>
        <v>#DIV/0!</v>
      </c>
    </row>
    <row r="1362" spans="1:9" ht="17.100000000000001" hidden="1" customHeight="1">
      <c r="A1362" s="1614"/>
      <c r="B1362" s="1627"/>
      <c r="C1362" s="2792" t="s">
        <v>812</v>
      </c>
      <c r="D1362" s="2796" t="s">
        <v>765</v>
      </c>
      <c r="E1362" s="2794">
        <v>2903</v>
      </c>
      <c r="F1362" s="2794">
        <v>0</v>
      </c>
      <c r="G1362" s="2789"/>
      <c r="H1362" s="2795"/>
      <c r="I1362" s="1769" t="e">
        <f t="shared" si="277"/>
        <v>#DIV/0!</v>
      </c>
    </row>
    <row r="1363" spans="1:9" ht="29.25" hidden="1" customHeight="1">
      <c r="A1363" s="1614"/>
      <c r="B1363" s="1627"/>
      <c r="C1363" s="2792" t="s">
        <v>862</v>
      </c>
      <c r="D1363" s="2796" t="s">
        <v>766</v>
      </c>
      <c r="E1363" s="2794">
        <v>103</v>
      </c>
      <c r="F1363" s="2794">
        <v>0</v>
      </c>
      <c r="G1363" s="2789"/>
      <c r="H1363" s="2795"/>
      <c r="I1363" s="1769" t="e">
        <f t="shared" si="277"/>
        <v>#DIV/0!</v>
      </c>
    </row>
    <row r="1364" spans="1:9" ht="28.5" hidden="1" customHeight="1">
      <c r="A1364" s="1614"/>
      <c r="B1364" s="1627"/>
      <c r="C1364" s="2792" t="s">
        <v>814</v>
      </c>
      <c r="D1364" s="2796" t="s">
        <v>766</v>
      </c>
      <c r="E1364" s="2794">
        <v>103</v>
      </c>
      <c r="F1364" s="2794">
        <v>0</v>
      </c>
      <c r="G1364" s="2789"/>
      <c r="H1364" s="2795"/>
      <c r="I1364" s="1769" t="e">
        <f t="shared" si="277"/>
        <v>#DIV/0!</v>
      </c>
    </row>
    <row r="1365" spans="1:9" ht="17.100000000000001" hidden="1" customHeight="1">
      <c r="A1365" s="1614"/>
      <c r="B1365" s="1627"/>
      <c r="C1365" s="2792" t="s">
        <v>962</v>
      </c>
      <c r="D1365" s="2796" t="s">
        <v>766</v>
      </c>
      <c r="E1365" s="2794"/>
      <c r="F1365" s="2794"/>
      <c r="G1365" s="2789"/>
      <c r="H1365" s="2795"/>
      <c r="I1365" s="1769" t="e">
        <f t="shared" si="277"/>
        <v>#DIV/0!</v>
      </c>
    </row>
    <row r="1366" spans="1:9" ht="17.100000000000001" hidden="1" customHeight="1">
      <c r="A1366" s="1614"/>
      <c r="B1366" s="1627"/>
      <c r="C1366" s="2792" t="s">
        <v>816</v>
      </c>
      <c r="D1366" s="2796" t="s">
        <v>766</v>
      </c>
      <c r="E1366" s="2794"/>
      <c r="F1366" s="2794"/>
      <c r="G1366" s="2789"/>
      <c r="H1366" s="2795"/>
      <c r="I1366" s="1769" t="e">
        <f t="shared" si="277"/>
        <v>#DIV/0!</v>
      </c>
    </row>
    <row r="1367" spans="1:9" ht="17.100000000000001" hidden="1" customHeight="1">
      <c r="A1367" s="1614"/>
      <c r="B1367" s="1627"/>
      <c r="C1367" s="2792" t="s">
        <v>1070</v>
      </c>
      <c r="D1367" s="2796" t="s">
        <v>766</v>
      </c>
      <c r="E1367" s="2794"/>
      <c r="F1367" s="2794"/>
      <c r="G1367" s="2789"/>
      <c r="H1367" s="2795"/>
      <c r="I1367" s="1769" t="e">
        <f t="shared" si="277"/>
        <v>#DIV/0!</v>
      </c>
    </row>
    <row r="1368" spans="1:9" ht="9" hidden="1" customHeight="1">
      <c r="A1368" s="1614"/>
      <c r="B1368" s="1627"/>
      <c r="C1368" s="2792" t="s">
        <v>1071</v>
      </c>
      <c r="D1368" s="2796" t="s">
        <v>766</v>
      </c>
      <c r="E1368" s="2794"/>
      <c r="F1368" s="2794"/>
      <c r="G1368" s="2789"/>
      <c r="H1368" s="2795"/>
      <c r="I1368" s="1769" t="e">
        <f t="shared" si="277"/>
        <v>#DIV/0!</v>
      </c>
    </row>
    <row r="1369" spans="1:9" ht="17.100000000000001" hidden="1" customHeight="1">
      <c r="A1369" s="1614"/>
      <c r="B1369" s="1627"/>
      <c r="C1369" s="2792" t="s">
        <v>864</v>
      </c>
      <c r="D1369" s="2796" t="s">
        <v>776</v>
      </c>
      <c r="E1369" s="2794">
        <v>33474</v>
      </c>
      <c r="F1369" s="2794">
        <v>0</v>
      </c>
      <c r="G1369" s="2789"/>
      <c r="H1369" s="2795"/>
      <c r="I1369" s="1769" t="e">
        <f t="shared" si="277"/>
        <v>#DIV/0!</v>
      </c>
    </row>
    <row r="1370" spans="1:9" ht="17.100000000000001" hidden="1" customHeight="1">
      <c r="A1370" s="1614"/>
      <c r="B1370" s="1627"/>
      <c r="C1370" s="2792" t="s">
        <v>825</v>
      </c>
      <c r="D1370" s="2796" t="s">
        <v>776</v>
      </c>
      <c r="E1370" s="2794"/>
      <c r="F1370" s="2794"/>
      <c r="G1370" s="2789"/>
      <c r="H1370" s="2795"/>
      <c r="I1370" s="1769" t="e">
        <f t="shared" si="277"/>
        <v>#DIV/0!</v>
      </c>
    </row>
    <row r="1371" spans="1:9" ht="17.100000000000001" hidden="1" customHeight="1">
      <c r="A1371" s="1614"/>
      <c r="B1371" s="1627"/>
      <c r="C1371" s="2792" t="s">
        <v>867</v>
      </c>
      <c r="D1371" s="2796" t="s">
        <v>790</v>
      </c>
      <c r="E1371" s="2794"/>
      <c r="F1371" s="2794"/>
      <c r="G1371" s="2789"/>
      <c r="H1371" s="2795"/>
      <c r="I1371" s="1769" t="e">
        <f t="shared" si="277"/>
        <v>#DIV/0!</v>
      </c>
    </row>
    <row r="1372" spans="1:9" ht="17.100000000000001" hidden="1" customHeight="1">
      <c r="A1372" s="1614"/>
      <c r="B1372" s="1627"/>
      <c r="C1372" s="2797" t="s">
        <v>835</v>
      </c>
      <c r="D1372" s="2798" t="s">
        <v>790</v>
      </c>
      <c r="E1372" s="2794"/>
      <c r="F1372" s="2794"/>
      <c r="G1372" s="2789"/>
      <c r="H1372" s="2795"/>
      <c r="I1372" s="1769" t="e">
        <f t="shared" si="277"/>
        <v>#DIV/0!</v>
      </c>
    </row>
    <row r="1373" spans="1:9" ht="17.100000000000001" hidden="1" customHeight="1">
      <c r="A1373" s="1614"/>
      <c r="B1373" s="1627"/>
      <c r="C1373" s="2799"/>
      <c r="D1373" s="2800"/>
      <c r="E1373" s="2801"/>
      <c r="F1373" s="2801"/>
      <c r="G1373" s="2789"/>
      <c r="H1373" s="2795"/>
      <c r="I1373" s="1769" t="e">
        <f t="shared" si="277"/>
        <v>#DIV/0!</v>
      </c>
    </row>
    <row r="1374" spans="1:9" ht="17.100000000000001" customHeight="1">
      <c r="A1374" s="1614"/>
      <c r="B1374" s="1627"/>
      <c r="C1374" s="4635" t="s">
        <v>793</v>
      </c>
      <c r="D1374" s="4635"/>
      <c r="E1374" s="1615">
        <f t="shared" ref="E1374:H1374" si="288">E1375</f>
        <v>25000</v>
      </c>
      <c r="F1374" s="1615">
        <f t="shared" si="288"/>
        <v>43150</v>
      </c>
      <c r="G1374" s="1616">
        <f t="shared" si="288"/>
        <v>43150</v>
      </c>
      <c r="H1374" s="1617">
        <f t="shared" si="288"/>
        <v>41609.42</v>
      </c>
      <c r="I1374" s="1672">
        <f t="shared" si="277"/>
        <v>0.96429710312862105</v>
      </c>
    </row>
    <row r="1375" spans="1:9" ht="17.100000000000001" customHeight="1">
      <c r="A1375" s="1614"/>
      <c r="B1375" s="1627"/>
      <c r="C1375" s="4842" t="s">
        <v>794</v>
      </c>
      <c r="D1375" s="4843"/>
      <c r="E1375" s="2802">
        <f>SUM(E1376:E1376)</f>
        <v>25000</v>
      </c>
      <c r="F1375" s="2802">
        <f t="shared" ref="F1375:H1375" si="289">SUM(F1376:F1376)</f>
        <v>43150</v>
      </c>
      <c r="G1375" s="2803">
        <f t="shared" si="289"/>
        <v>43150</v>
      </c>
      <c r="H1375" s="2795">
        <f t="shared" si="289"/>
        <v>41609.42</v>
      </c>
      <c r="I1375" s="1769">
        <f t="shared" si="277"/>
        <v>0.96429710312862105</v>
      </c>
    </row>
    <row r="1376" spans="1:9" ht="17.100000000000001" customHeight="1" thickBot="1">
      <c r="A1376" s="4716"/>
      <c r="B1376" s="1645"/>
      <c r="C1376" s="2804" t="s">
        <v>24</v>
      </c>
      <c r="D1376" s="2111" t="s">
        <v>842</v>
      </c>
      <c r="E1376" s="1678">
        <v>25000</v>
      </c>
      <c r="F1376" s="1678">
        <v>43150</v>
      </c>
      <c r="G1376" s="2785">
        <v>43150</v>
      </c>
      <c r="H1376" s="1747">
        <v>41609.42</v>
      </c>
      <c r="I1376" s="1651">
        <f t="shared" si="277"/>
        <v>0.96429710312862105</v>
      </c>
    </row>
    <row r="1377" spans="1:9" ht="17.100000000000001" hidden="1" customHeight="1" thickBot="1">
      <c r="A1377" s="4716"/>
      <c r="B1377" s="1627"/>
      <c r="C1377" s="2753"/>
      <c r="D1377" s="2805"/>
      <c r="E1377" s="1661"/>
      <c r="F1377" s="1661"/>
      <c r="G1377" s="1881"/>
      <c r="H1377" s="1663"/>
      <c r="I1377" s="1725" t="e">
        <f t="shared" si="277"/>
        <v>#DIV/0!</v>
      </c>
    </row>
    <row r="1378" spans="1:9" ht="17.100000000000001" customHeight="1" thickBot="1">
      <c r="A1378" s="4716"/>
      <c r="B1378" s="2691" t="s">
        <v>1072</v>
      </c>
      <c r="C1378" s="1727"/>
      <c r="D1378" s="1728" t="s">
        <v>613</v>
      </c>
      <c r="E1378" s="2738">
        <f>E1379+E1451</f>
        <v>10654303</v>
      </c>
      <c r="F1378" s="2738">
        <f>F1379+F1451</f>
        <v>10514254</v>
      </c>
      <c r="G1378" s="2767">
        <f t="shared" ref="G1378:H1378" si="290">G1379+G1451</f>
        <v>13818081</v>
      </c>
      <c r="H1378" s="2720">
        <f t="shared" si="290"/>
        <v>13365815.32</v>
      </c>
      <c r="I1378" s="2806">
        <f t="shared" si="277"/>
        <v>0.9672700080423613</v>
      </c>
    </row>
    <row r="1379" spans="1:9" ht="15.75" customHeight="1">
      <c r="A1379" s="1614"/>
      <c r="B1379" s="1627"/>
      <c r="C1379" s="4633" t="s">
        <v>760</v>
      </c>
      <c r="D1379" s="4633"/>
      <c r="E1379" s="1615">
        <f>E1380+E1403+E1406</f>
        <v>10590303</v>
      </c>
      <c r="F1379" s="1615">
        <f>F1380+F1403+F1406</f>
        <v>10494254</v>
      </c>
      <c r="G1379" s="1616">
        <f t="shared" ref="G1379:H1379" si="291">G1380+G1403+G1406</f>
        <v>13798081</v>
      </c>
      <c r="H1379" s="1617">
        <f t="shared" si="291"/>
        <v>13345815.32</v>
      </c>
      <c r="I1379" s="1780">
        <f t="shared" si="277"/>
        <v>0.96722256667430784</v>
      </c>
    </row>
    <row r="1380" spans="1:9" ht="15.75" customHeight="1">
      <c r="A1380" s="1614"/>
      <c r="B1380" s="1627"/>
      <c r="C1380" s="4837" t="s">
        <v>761</v>
      </c>
      <c r="D1380" s="4837"/>
      <c r="E1380" s="2807">
        <f t="shared" ref="E1380:H1380" si="292">E1381+E1388</f>
        <v>8559249</v>
      </c>
      <c r="F1380" s="2807">
        <f t="shared" si="292"/>
        <v>10010693</v>
      </c>
      <c r="G1380" s="2808">
        <f t="shared" si="292"/>
        <v>12668779</v>
      </c>
      <c r="H1380" s="2790">
        <f t="shared" si="292"/>
        <v>12468441.469999999</v>
      </c>
      <c r="I1380" s="1769">
        <f t="shared" si="277"/>
        <v>0.98418651631700249</v>
      </c>
    </row>
    <row r="1381" spans="1:9" ht="15.75" customHeight="1">
      <c r="A1381" s="1614"/>
      <c r="B1381" s="1627"/>
      <c r="C1381" s="4838" t="s">
        <v>762</v>
      </c>
      <c r="D1381" s="4838"/>
      <c r="E1381" s="2809">
        <f t="shared" ref="E1381:F1381" si="293">SUM(E1382:E1386)</f>
        <v>7883516</v>
      </c>
      <c r="F1381" s="2809">
        <f t="shared" si="293"/>
        <v>9453165</v>
      </c>
      <c r="G1381" s="2810">
        <f t="shared" ref="G1381:H1381" si="294">SUM(G1382:G1386)</f>
        <v>11530125</v>
      </c>
      <c r="H1381" s="2811">
        <f t="shared" si="294"/>
        <v>11367006.279999999</v>
      </c>
      <c r="I1381" s="1783">
        <f t="shared" si="277"/>
        <v>0.98585282293123444</v>
      </c>
    </row>
    <row r="1382" spans="1:9" ht="15.75" customHeight="1">
      <c r="A1382" s="1614"/>
      <c r="B1382" s="1627"/>
      <c r="C1382" s="2792" t="s">
        <v>61</v>
      </c>
      <c r="D1382" s="2796" t="s">
        <v>763</v>
      </c>
      <c r="E1382" s="2802">
        <v>6146942</v>
      </c>
      <c r="F1382" s="2802">
        <v>7280272</v>
      </c>
      <c r="G1382" s="2789">
        <v>9079665</v>
      </c>
      <c r="H1382" s="2795">
        <v>9001048.0600000005</v>
      </c>
      <c r="I1382" s="1769">
        <f t="shared" si="277"/>
        <v>0.9913414272442872</v>
      </c>
    </row>
    <row r="1383" spans="1:9" ht="15.75" customHeight="1">
      <c r="A1383" s="1614"/>
      <c r="B1383" s="1627"/>
      <c r="C1383" s="2792" t="s">
        <v>315</v>
      </c>
      <c r="D1383" s="2796" t="s">
        <v>764</v>
      </c>
      <c r="E1383" s="2802">
        <v>493436</v>
      </c>
      <c r="F1383" s="2802">
        <v>636449</v>
      </c>
      <c r="G1383" s="2789">
        <v>615886</v>
      </c>
      <c r="H1383" s="2795">
        <v>615878.68999999994</v>
      </c>
      <c r="I1383" s="1769">
        <f t="shared" si="277"/>
        <v>0.99998813092033256</v>
      </c>
    </row>
    <row r="1384" spans="1:9" ht="15.75" customHeight="1">
      <c r="A1384" s="1614"/>
      <c r="B1384" s="1627"/>
      <c r="C1384" s="2792" t="s">
        <v>62</v>
      </c>
      <c r="D1384" s="2796" t="s">
        <v>765</v>
      </c>
      <c r="E1384" s="2802">
        <v>1110148</v>
      </c>
      <c r="F1384" s="2802">
        <v>1341053</v>
      </c>
      <c r="G1384" s="2789">
        <v>1661586</v>
      </c>
      <c r="H1384" s="2795">
        <v>1581095.11</v>
      </c>
      <c r="I1384" s="1769">
        <f t="shared" ref="I1384:I1454" si="295">H1384/G1384</f>
        <v>0.95155779478161229</v>
      </c>
    </row>
    <row r="1385" spans="1:9" ht="15.75" customHeight="1">
      <c r="A1385" s="1614"/>
      <c r="B1385" s="1627"/>
      <c r="C1385" s="2797" t="s">
        <v>63</v>
      </c>
      <c r="D1385" s="2798" t="s">
        <v>798</v>
      </c>
      <c r="E1385" s="2802">
        <v>129990</v>
      </c>
      <c r="F1385" s="2802">
        <v>195391</v>
      </c>
      <c r="G1385" s="2789">
        <v>143827</v>
      </c>
      <c r="H1385" s="2795">
        <v>140994.25</v>
      </c>
      <c r="I1385" s="1769">
        <f t="shared" si="295"/>
        <v>0.9803044630006883</v>
      </c>
    </row>
    <row r="1386" spans="1:9">
      <c r="A1386" s="1614"/>
      <c r="B1386" s="1627"/>
      <c r="C1386" s="2799" t="s">
        <v>335</v>
      </c>
      <c r="D1386" s="2812" t="s">
        <v>768</v>
      </c>
      <c r="E1386" s="2802">
        <v>3000</v>
      </c>
      <c r="F1386" s="2802">
        <v>0</v>
      </c>
      <c r="G1386" s="2789">
        <v>29161</v>
      </c>
      <c r="H1386" s="2795">
        <v>27990.17</v>
      </c>
      <c r="I1386" s="2813">
        <f t="shared" si="295"/>
        <v>0.95984945646582753</v>
      </c>
    </row>
    <row r="1387" spans="1:9" ht="13.5" customHeight="1">
      <c r="A1387" s="1614"/>
      <c r="B1387" s="1627"/>
      <c r="C1387" s="1876"/>
      <c r="D1387" s="1877"/>
      <c r="E1387" s="1878"/>
      <c r="F1387" s="1878"/>
      <c r="G1387" s="1881"/>
      <c r="H1387" s="1663"/>
      <c r="I1387" s="1769"/>
    </row>
    <row r="1388" spans="1:9" ht="17.100000000000001" customHeight="1">
      <c r="A1388" s="1614"/>
      <c r="B1388" s="1627"/>
      <c r="C1388" s="4634" t="s">
        <v>769</v>
      </c>
      <c r="D1388" s="4634"/>
      <c r="E1388" s="1942">
        <f>SUM(E1389:E1401)</f>
        <v>675733</v>
      </c>
      <c r="F1388" s="1942">
        <f>SUM(F1389:F1401)</f>
        <v>557528</v>
      </c>
      <c r="G1388" s="1943">
        <f>SUM(G1389:G1401)</f>
        <v>1138654</v>
      </c>
      <c r="H1388" s="1944">
        <f t="shared" ref="H1388" si="296">SUM(H1389:H1401)</f>
        <v>1101435.19</v>
      </c>
      <c r="I1388" s="1783">
        <f t="shared" si="295"/>
        <v>0.96731332784146895</v>
      </c>
    </row>
    <row r="1389" spans="1:9" ht="27.75" customHeight="1">
      <c r="A1389" s="4716"/>
      <c r="B1389" s="4716"/>
      <c r="C1389" s="2814" t="s">
        <v>332</v>
      </c>
      <c r="D1389" s="2815" t="s">
        <v>770</v>
      </c>
      <c r="E1389" s="2802">
        <v>93252</v>
      </c>
      <c r="F1389" s="2802">
        <v>102463</v>
      </c>
      <c r="G1389" s="2789">
        <v>18452</v>
      </c>
      <c r="H1389" s="2795">
        <v>18452</v>
      </c>
      <c r="I1389" s="1769">
        <f t="shared" si="295"/>
        <v>1</v>
      </c>
    </row>
    <row r="1390" spans="1:9" ht="17.100000000000001" customHeight="1">
      <c r="A1390" s="4716"/>
      <c r="B1390" s="4716"/>
      <c r="C1390" s="1659" t="s">
        <v>22</v>
      </c>
      <c r="D1390" s="1660" t="s">
        <v>771</v>
      </c>
      <c r="E1390" s="1661">
        <v>700</v>
      </c>
      <c r="F1390" s="1661">
        <v>0</v>
      </c>
      <c r="G1390" s="1881">
        <v>221238</v>
      </c>
      <c r="H1390" s="1663">
        <v>220803.32</v>
      </c>
      <c r="I1390" s="1769">
        <f t="shared" si="295"/>
        <v>0.99803523806940941</v>
      </c>
    </row>
    <row r="1391" spans="1:9" ht="17.100000000000001" customHeight="1">
      <c r="A1391" s="1614"/>
      <c r="B1391" s="1627"/>
      <c r="C1391" s="2792" t="s">
        <v>316</v>
      </c>
      <c r="D1391" s="2796" t="s">
        <v>773</v>
      </c>
      <c r="E1391" s="2807">
        <v>77061</v>
      </c>
      <c r="F1391" s="2807">
        <v>77061</v>
      </c>
      <c r="G1391" s="2789">
        <v>248852</v>
      </c>
      <c r="H1391" s="2790">
        <v>246816.16</v>
      </c>
      <c r="I1391" s="1769">
        <f t="shared" si="295"/>
        <v>0.99181907318406126</v>
      </c>
    </row>
    <row r="1392" spans="1:9">
      <c r="A1392" s="1614"/>
      <c r="B1392" s="1627"/>
      <c r="C1392" s="2792" t="s">
        <v>87</v>
      </c>
      <c r="D1392" s="2796" t="s">
        <v>774</v>
      </c>
      <c r="E1392" s="2807">
        <v>20000</v>
      </c>
      <c r="F1392" s="2807">
        <v>66990</v>
      </c>
      <c r="G1392" s="2789">
        <v>66990</v>
      </c>
      <c r="H1392" s="2790">
        <v>66990</v>
      </c>
      <c r="I1392" s="1769">
        <f t="shared" si="295"/>
        <v>1</v>
      </c>
    </row>
    <row r="1393" spans="1:10" ht="17.100000000000001" customHeight="1">
      <c r="A1393" s="1614"/>
      <c r="B1393" s="1627"/>
      <c r="C1393" s="2792" t="s">
        <v>317</v>
      </c>
      <c r="D1393" s="2796" t="s">
        <v>775</v>
      </c>
      <c r="E1393" s="2807">
        <v>18133</v>
      </c>
      <c r="F1393" s="2807">
        <v>11000</v>
      </c>
      <c r="G1393" s="2789">
        <v>14829</v>
      </c>
      <c r="H1393" s="2790">
        <v>11152</v>
      </c>
      <c r="I1393" s="1769">
        <f t="shared" si="295"/>
        <v>0.75203992177490053</v>
      </c>
    </row>
    <row r="1394" spans="1:10" ht="17.100000000000001" customHeight="1">
      <c r="A1394" s="1614"/>
      <c r="B1394" s="1627"/>
      <c r="C1394" s="2792" t="s">
        <v>23</v>
      </c>
      <c r="D1394" s="2796" t="s">
        <v>776</v>
      </c>
      <c r="E1394" s="2807">
        <v>27680</v>
      </c>
      <c r="F1394" s="2807">
        <v>10470</v>
      </c>
      <c r="G1394" s="2789">
        <v>45608</v>
      </c>
      <c r="H1394" s="2790">
        <v>42789.99</v>
      </c>
      <c r="I1394" s="1769">
        <f t="shared" si="295"/>
        <v>0.93821237502192589</v>
      </c>
    </row>
    <row r="1395" spans="1:10" ht="17.100000000000001" hidden="1" customHeight="1">
      <c r="A1395" s="1614"/>
      <c r="B1395" s="1627"/>
      <c r="C1395" s="2792" t="s">
        <v>327</v>
      </c>
      <c r="D1395" s="2796" t="s">
        <v>778</v>
      </c>
      <c r="E1395" s="2807"/>
      <c r="F1395" s="2807">
        <v>0</v>
      </c>
      <c r="G1395" s="2789">
        <v>0</v>
      </c>
      <c r="H1395" s="2790">
        <v>0</v>
      </c>
      <c r="I1395" s="1769" t="e">
        <f t="shared" si="295"/>
        <v>#DIV/0!</v>
      </c>
    </row>
    <row r="1396" spans="1:10" ht="17.100000000000001" customHeight="1">
      <c r="A1396" s="1614"/>
      <c r="B1396" s="1627"/>
      <c r="C1396" s="2792" t="s">
        <v>328</v>
      </c>
      <c r="D1396" s="2796" t="s">
        <v>781</v>
      </c>
      <c r="E1396" s="2807">
        <v>26504</v>
      </c>
      <c r="F1396" s="2807">
        <v>26504</v>
      </c>
      <c r="G1396" s="2789">
        <v>12872</v>
      </c>
      <c r="H1396" s="2790">
        <v>12421.87</v>
      </c>
      <c r="I1396" s="1769">
        <f t="shared" si="295"/>
        <v>0.96503029832193921</v>
      </c>
    </row>
    <row r="1397" spans="1:10" ht="17.100000000000001" hidden="1" customHeight="1">
      <c r="A1397" s="1614"/>
      <c r="B1397" s="1627"/>
      <c r="C1397" s="2792" t="s">
        <v>333</v>
      </c>
      <c r="D1397" s="2796" t="s">
        <v>782</v>
      </c>
      <c r="E1397" s="2807"/>
      <c r="F1397" s="2807"/>
      <c r="G1397" s="2789"/>
      <c r="H1397" s="2795"/>
      <c r="I1397" s="1769" t="e">
        <f t="shared" si="295"/>
        <v>#DIV/0!</v>
      </c>
    </row>
    <row r="1398" spans="1:10" ht="17.100000000000001" customHeight="1">
      <c r="A1398" s="1614"/>
      <c r="B1398" s="1627"/>
      <c r="C1398" s="2792" t="s">
        <v>319</v>
      </c>
      <c r="D1398" s="2796" t="s">
        <v>783</v>
      </c>
      <c r="E1398" s="2807">
        <v>243014</v>
      </c>
      <c r="F1398" s="2807">
        <v>251751</v>
      </c>
      <c r="G1398" s="2789">
        <v>329424</v>
      </c>
      <c r="H1398" s="2790">
        <v>327657</v>
      </c>
      <c r="I1398" s="1769">
        <f t="shared" si="295"/>
        <v>0.99463609208800818</v>
      </c>
    </row>
    <row r="1399" spans="1:10" ht="17.100000000000001" hidden="1" customHeight="1">
      <c r="A1399" s="1614"/>
      <c r="B1399" s="1627"/>
      <c r="C1399" s="2792" t="s">
        <v>788</v>
      </c>
      <c r="D1399" s="2796" t="s">
        <v>789</v>
      </c>
      <c r="E1399" s="2807"/>
      <c r="F1399" s="2807"/>
      <c r="G1399" s="2789"/>
      <c r="H1399" s="2795"/>
      <c r="I1399" s="1769" t="e">
        <f t="shared" si="295"/>
        <v>#DIV/0!</v>
      </c>
    </row>
    <row r="1400" spans="1:10" ht="17.100000000000001" customHeight="1">
      <c r="A1400" s="1614"/>
      <c r="B1400" s="1627"/>
      <c r="C1400" s="2792" t="s">
        <v>788</v>
      </c>
      <c r="D1400" s="2796" t="s">
        <v>789</v>
      </c>
      <c r="E1400" s="2807"/>
      <c r="F1400" s="2807">
        <v>200</v>
      </c>
      <c r="G1400" s="2789">
        <v>0</v>
      </c>
      <c r="H1400" s="2790">
        <v>0</v>
      </c>
      <c r="I1400" s="1769"/>
    </row>
    <row r="1401" spans="1:10" ht="26.25" customHeight="1">
      <c r="A1401" s="1614"/>
      <c r="B1401" s="1627"/>
      <c r="C1401" s="2792" t="s">
        <v>64</v>
      </c>
      <c r="D1401" s="2796" t="s">
        <v>790</v>
      </c>
      <c r="E1401" s="2807">
        <v>169389</v>
      </c>
      <c r="F1401" s="2807">
        <v>11089</v>
      </c>
      <c r="G1401" s="2789">
        <v>180389</v>
      </c>
      <c r="H1401" s="2790">
        <v>154352.85</v>
      </c>
      <c r="I1401" s="1769">
        <f t="shared" si="295"/>
        <v>0.8556666426445072</v>
      </c>
    </row>
    <row r="1402" spans="1:10" ht="17.100000000000001" customHeight="1">
      <c r="A1402" s="1614"/>
      <c r="B1402" s="1627"/>
      <c r="C1402" s="1688"/>
      <c r="D1402" s="1688"/>
      <c r="E1402" s="1638"/>
      <c r="F1402" s="1638"/>
      <c r="G1402" s="2789"/>
      <c r="H1402" s="2790"/>
      <c r="I1402" s="1769"/>
    </row>
    <row r="1403" spans="1:10" ht="17.100000000000001" customHeight="1">
      <c r="A1403" s="1614"/>
      <c r="B1403" s="1627"/>
      <c r="C1403" s="4834" t="s">
        <v>998</v>
      </c>
      <c r="D1403" s="4834"/>
      <c r="E1403" s="2816">
        <f t="shared" ref="E1403:H1403" si="297">E1404</f>
        <v>14600</v>
      </c>
      <c r="F1403" s="2816">
        <f t="shared" si="297"/>
        <v>14600</v>
      </c>
      <c r="G1403" s="2817">
        <f t="shared" si="297"/>
        <v>30532</v>
      </c>
      <c r="H1403" s="2818">
        <f t="shared" si="297"/>
        <v>30531.3</v>
      </c>
      <c r="I1403" s="1769">
        <f t="shared" si="295"/>
        <v>0.99997707323463902</v>
      </c>
    </row>
    <row r="1404" spans="1:10" ht="17.100000000000001" customHeight="1" thickBot="1">
      <c r="A1404" s="1644"/>
      <c r="B1404" s="1645"/>
      <c r="C1404" s="1900" t="s">
        <v>314</v>
      </c>
      <c r="D1404" s="1920" t="s">
        <v>792</v>
      </c>
      <c r="E1404" s="2017">
        <v>14600</v>
      </c>
      <c r="F1404" s="2017">
        <v>14600</v>
      </c>
      <c r="G1404" s="2218">
        <v>30532</v>
      </c>
      <c r="H1404" s="1747">
        <v>30531.3</v>
      </c>
      <c r="I1404" s="2657">
        <f t="shared" si="295"/>
        <v>0.99997707323463902</v>
      </c>
    </row>
    <row r="1405" spans="1:10">
      <c r="A1405" s="1614"/>
      <c r="B1405" s="1627"/>
      <c r="C1405" s="2012"/>
      <c r="D1405" s="1905"/>
      <c r="E1405" s="2254"/>
      <c r="F1405" s="2254"/>
      <c r="G1405" s="1881"/>
      <c r="H1405" s="1663"/>
      <c r="I1405" s="1769"/>
    </row>
    <row r="1406" spans="1:10" ht="24.75" customHeight="1">
      <c r="A1406" s="1614"/>
      <c r="B1406" s="1627"/>
      <c r="C1406" s="4683" t="s">
        <v>803</v>
      </c>
      <c r="D1406" s="4720"/>
      <c r="E1406" s="1661">
        <f>SUM(E1407:E1449)</f>
        <v>2016454</v>
      </c>
      <c r="F1406" s="1661">
        <f>SUM(F1407:F1449)</f>
        <v>468961</v>
      </c>
      <c r="G1406" s="1760">
        <f>SUM(G1407:G1449)</f>
        <v>1098770</v>
      </c>
      <c r="H1406" s="1663">
        <f>SUM(H1407:H1449)</f>
        <v>846842.54999999993</v>
      </c>
      <c r="I1406" s="1769">
        <f t="shared" si="295"/>
        <v>0.77071866723700133</v>
      </c>
      <c r="J1406" s="1643">
        <v>-3</v>
      </c>
    </row>
    <row r="1407" spans="1:10" ht="54" hidden="1" customHeight="1">
      <c r="A1407" s="1614"/>
      <c r="B1407" s="1627"/>
      <c r="C1407" s="2819" t="s">
        <v>611</v>
      </c>
      <c r="D1407" s="2820" t="s">
        <v>1002</v>
      </c>
      <c r="E1407" s="2807">
        <v>19853</v>
      </c>
      <c r="F1407" s="2807">
        <v>0</v>
      </c>
      <c r="G1407" s="2789"/>
      <c r="H1407" s="2790"/>
      <c r="I1407" s="1769" t="e">
        <f t="shared" si="295"/>
        <v>#DIV/0!</v>
      </c>
    </row>
    <row r="1408" spans="1:10" ht="51" hidden="1">
      <c r="A1408" s="1614"/>
      <c r="B1408" s="1627"/>
      <c r="C1408" s="2821" t="s">
        <v>528</v>
      </c>
      <c r="D1408" s="2820" t="s">
        <v>1002</v>
      </c>
      <c r="E1408" s="2807">
        <v>4790</v>
      </c>
      <c r="F1408" s="2807">
        <v>0</v>
      </c>
      <c r="G1408" s="2789"/>
      <c r="H1408" s="2790"/>
      <c r="I1408" s="1769" t="e">
        <f t="shared" si="295"/>
        <v>#DIV/0!</v>
      </c>
    </row>
    <row r="1409" spans="1:9" ht="15.75" hidden="1" customHeight="1">
      <c r="A1409" s="1614"/>
      <c r="B1409" s="1627"/>
      <c r="C1409" s="2822" t="s">
        <v>675</v>
      </c>
      <c r="D1409" s="2820" t="s">
        <v>858</v>
      </c>
      <c r="E1409" s="2807">
        <v>250692</v>
      </c>
      <c r="F1409" s="2807">
        <v>0</v>
      </c>
      <c r="G1409" s="2789"/>
      <c r="H1409" s="2790"/>
      <c r="I1409" s="1769" t="e">
        <f t="shared" si="295"/>
        <v>#DIV/0!</v>
      </c>
    </row>
    <row r="1410" spans="1:9" ht="17.100000000000001" hidden="1" customHeight="1">
      <c r="A1410" s="1614"/>
      <c r="B1410" s="1627"/>
      <c r="C1410" s="2822" t="s">
        <v>1073</v>
      </c>
      <c r="D1410" s="2820" t="s">
        <v>792</v>
      </c>
      <c r="E1410" s="2807">
        <v>283</v>
      </c>
      <c r="F1410" s="2807">
        <v>0</v>
      </c>
      <c r="G1410" s="2789"/>
      <c r="H1410" s="2795"/>
      <c r="I1410" s="1769" t="e">
        <f t="shared" si="295"/>
        <v>#DIV/0!</v>
      </c>
    </row>
    <row r="1411" spans="1:9" hidden="1">
      <c r="A1411" s="1614"/>
      <c r="B1411" s="1627"/>
      <c r="C1411" s="2822" t="s">
        <v>975</v>
      </c>
      <c r="D1411" s="2820" t="s">
        <v>792</v>
      </c>
      <c r="E1411" s="2807">
        <v>17</v>
      </c>
      <c r="F1411" s="2807">
        <v>0</v>
      </c>
      <c r="G1411" s="2789">
        <v>0</v>
      </c>
      <c r="H1411" s="2790">
        <v>0</v>
      </c>
      <c r="I1411" s="1769"/>
    </row>
    <row r="1412" spans="1:9">
      <c r="A1412" s="1614"/>
      <c r="B1412" s="1627"/>
      <c r="C1412" s="2792" t="s">
        <v>925</v>
      </c>
      <c r="D1412" s="2796" t="s">
        <v>763</v>
      </c>
      <c r="E1412" s="2807">
        <v>221425</v>
      </c>
      <c r="F1412" s="2807">
        <v>0</v>
      </c>
      <c r="G1412" s="2789">
        <f>586</f>
        <v>586</v>
      </c>
      <c r="H1412" s="2795">
        <v>542.76</v>
      </c>
      <c r="I1412" s="1769">
        <f t="shared" si="295"/>
        <v>0.92621160409556313</v>
      </c>
    </row>
    <row r="1413" spans="1:9" ht="17.100000000000001" customHeight="1">
      <c r="A1413" s="1614"/>
      <c r="B1413" s="1627"/>
      <c r="C1413" s="2792" t="s">
        <v>859</v>
      </c>
      <c r="D1413" s="2796" t="s">
        <v>763</v>
      </c>
      <c r="E1413" s="2807">
        <v>221425</v>
      </c>
      <c r="F1413" s="2807">
        <v>117421</v>
      </c>
      <c r="G1413" s="2789">
        <v>331459</v>
      </c>
      <c r="H1413" s="2790">
        <v>249298.19</v>
      </c>
      <c r="I1413" s="1769">
        <f t="shared" si="295"/>
        <v>0.75212376191323815</v>
      </c>
    </row>
    <row r="1414" spans="1:9" ht="17.100000000000001" customHeight="1">
      <c r="A1414" s="1614"/>
      <c r="B1414" s="1627"/>
      <c r="C1414" s="2792" t="s">
        <v>808</v>
      </c>
      <c r="D1414" s="2796" t="s">
        <v>763</v>
      </c>
      <c r="E1414" s="2807">
        <v>24779</v>
      </c>
      <c r="F1414" s="2807">
        <v>23856</v>
      </c>
      <c r="G1414" s="2789">
        <v>67898</v>
      </c>
      <c r="H1414" s="2795">
        <v>53038.68</v>
      </c>
      <c r="I1414" s="1769">
        <f t="shared" si="295"/>
        <v>0.78115231671035967</v>
      </c>
    </row>
    <row r="1415" spans="1:9" ht="17.100000000000001" customHeight="1">
      <c r="A1415" s="1614"/>
      <c r="B1415" s="1627"/>
      <c r="C1415" s="2792" t="s">
        <v>927</v>
      </c>
      <c r="D1415" s="2796" t="s">
        <v>765</v>
      </c>
      <c r="E1415" s="2807">
        <v>37299</v>
      </c>
      <c r="F1415" s="2807">
        <v>0</v>
      </c>
      <c r="G1415" s="2789">
        <f>100</f>
        <v>100</v>
      </c>
      <c r="H1415" s="2790">
        <v>93.28</v>
      </c>
      <c r="I1415" s="1769">
        <f t="shared" si="295"/>
        <v>0.93279999999999996</v>
      </c>
    </row>
    <row r="1416" spans="1:9" ht="17.100000000000001" customHeight="1">
      <c r="A1416" s="1614"/>
      <c r="B1416" s="1627"/>
      <c r="C1416" s="2792" t="s">
        <v>861</v>
      </c>
      <c r="D1416" s="2796" t="s">
        <v>765</v>
      </c>
      <c r="E1416" s="2807">
        <v>37299</v>
      </c>
      <c r="F1416" s="2807">
        <v>23273</v>
      </c>
      <c r="G1416" s="2789">
        <v>63101</v>
      </c>
      <c r="H1416" s="2795">
        <v>47937.33</v>
      </c>
      <c r="I1416" s="1769">
        <f t="shared" si="295"/>
        <v>0.75969208094958873</v>
      </c>
    </row>
    <row r="1417" spans="1:9" ht="17.100000000000001" customHeight="1">
      <c r="A1417" s="1614"/>
      <c r="B1417" s="1627"/>
      <c r="C1417" s="2792" t="s">
        <v>812</v>
      </c>
      <c r="D1417" s="2796" t="s">
        <v>765</v>
      </c>
      <c r="E1417" s="2807">
        <v>4256</v>
      </c>
      <c r="F1417" s="2807">
        <v>4209</v>
      </c>
      <c r="G1417" s="2789">
        <v>12795</v>
      </c>
      <c r="H1417" s="2790">
        <v>9976.15</v>
      </c>
      <c r="I1417" s="1769">
        <f t="shared" si="295"/>
        <v>0.77969128565846035</v>
      </c>
    </row>
    <row r="1418" spans="1:9" ht="25.5" customHeight="1">
      <c r="A1418" s="1614"/>
      <c r="B1418" s="1627"/>
      <c r="C1418" s="2792" t="s">
        <v>929</v>
      </c>
      <c r="D1418" s="2796" t="s">
        <v>766</v>
      </c>
      <c r="E1418" s="2807">
        <v>5774</v>
      </c>
      <c r="F1418" s="2807">
        <v>0</v>
      </c>
      <c r="G1418" s="2789">
        <f>17</f>
        <v>17</v>
      </c>
      <c r="H1418" s="2795">
        <v>7.36</v>
      </c>
      <c r="I1418" s="1769">
        <f t="shared" si="295"/>
        <v>0.43294117647058827</v>
      </c>
    </row>
    <row r="1419" spans="1:9" ht="27" customHeight="1">
      <c r="A1419" s="1614"/>
      <c r="B1419" s="1627"/>
      <c r="C1419" s="2792" t="s">
        <v>862</v>
      </c>
      <c r="D1419" s="2796" t="s">
        <v>766</v>
      </c>
      <c r="E1419" s="2807">
        <v>5774</v>
      </c>
      <c r="F1419" s="2807">
        <v>3221</v>
      </c>
      <c r="G1419" s="2789">
        <v>8138</v>
      </c>
      <c r="H1419" s="2790">
        <v>6078.64</v>
      </c>
      <c r="I1419" s="1769">
        <f t="shared" si="295"/>
        <v>0.74694519537970017</v>
      </c>
    </row>
    <row r="1420" spans="1:9" ht="28.5" customHeight="1">
      <c r="A1420" s="1638"/>
      <c r="B1420" s="1638"/>
      <c r="C1420" s="2823" t="s">
        <v>814</v>
      </c>
      <c r="D1420" s="2824" t="s">
        <v>766</v>
      </c>
      <c r="E1420" s="2825">
        <v>666</v>
      </c>
      <c r="F1420" s="2825">
        <v>583</v>
      </c>
      <c r="G1420" s="2166">
        <v>1663</v>
      </c>
      <c r="H1420" s="2826">
        <v>1295.3399999999999</v>
      </c>
      <c r="I1420" s="1725">
        <f t="shared" si="295"/>
        <v>0.77891761876127474</v>
      </c>
    </row>
    <row r="1421" spans="1:9" ht="16.5" customHeight="1">
      <c r="A1421" s="1638"/>
      <c r="B1421" s="1638"/>
      <c r="C1421" s="2827" t="s">
        <v>1074</v>
      </c>
      <c r="D1421" s="2828" t="s">
        <v>767</v>
      </c>
      <c r="E1421" s="2807">
        <v>56941</v>
      </c>
      <c r="F1421" s="2807">
        <v>0</v>
      </c>
      <c r="G1421" s="2829">
        <f>3105</f>
        <v>3105</v>
      </c>
      <c r="H1421" s="2790">
        <v>3105</v>
      </c>
      <c r="I1421" s="2830">
        <f t="shared" si="295"/>
        <v>1</v>
      </c>
    </row>
    <row r="1422" spans="1:9" ht="18" customHeight="1">
      <c r="A1422" s="1638"/>
      <c r="B1422" s="1638"/>
      <c r="C1422" s="1659" t="s">
        <v>962</v>
      </c>
      <c r="D1422" s="1660" t="s">
        <v>767</v>
      </c>
      <c r="E1422" s="1661">
        <v>56941</v>
      </c>
      <c r="F1422" s="1661">
        <v>19590</v>
      </c>
      <c r="G1422" s="1881">
        <v>59718</v>
      </c>
      <c r="H1422" s="1663">
        <v>55130.23</v>
      </c>
      <c r="I1422" s="1769">
        <f t="shared" si="295"/>
        <v>0.92317609430992331</v>
      </c>
    </row>
    <row r="1423" spans="1:9" ht="17.25" customHeight="1">
      <c r="A1423" s="1638"/>
      <c r="B1423" s="1638"/>
      <c r="C1423" s="2792" t="s">
        <v>816</v>
      </c>
      <c r="D1423" s="2796" t="s">
        <v>767</v>
      </c>
      <c r="E1423" s="2807">
        <v>9379</v>
      </c>
      <c r="F1423" s="2807">
        <v>3557</v>
      </c>
      <c r="G1423" s="2789">
        <v>7650</v>
      </c>
      <c r="H1423" s="2790">
        <v>6466.77</v>
      </c>
      <c r="I1423" s="1769">
        <f>H1423/G1423</f>
        <v>0.84532941176470588</v>
      </c>
    </row>
    <row r="1424" spans="1:9" ht="17.25" customHeight="1">
      <c r="A1424" s="1638"/>
      <c r="B1424" s="1638"/>
      <c r="C1424" s="2831" t="s">
        <v>931</v>
      </c>
      <c r="D1424" s="2832" t="s">
        <v>771</v>
      </c>
      <c r="E1424" s="2807"/>
      <c r="F1424" s="2807">
        <v>0</v>
      </c>
      <c r="G1424" s="2829">
        <f>3257</f>
        <v>3257</v>
      </c>
      <c r="H1424" s="2790">
        <v>3186.44</v>
      </c>
      <c r="I1424" s="1769">
        <f t="shared" ref="I1424:I1427" si="298">H1424/G1424</f>
        <v>0.97833589192508441</v>
      </c>
    </row>
    <row r="1425" spans="1:9" ht="17.100000000000001" customHeight="1">
      <c r="A1425" s="1638"/>
      <c r="B1425" s="1638"/>
      <c r="C1425" s="1659" t="s">
        <v>863</v>
      </c>
      <c r="D1425" s="1660" t="s">
        <v>771</v>
      </c>
      <c r="E1425" s="1661">
        <v>53422</v>
      </c>
      <c r="F1425" s="1661">
        <v>9295</v>
      </c>
      <c r="G1425" s="1881">
        <v>86472</v>
      </c>
      <c r="H1425" s="1663">
        <v>53337.93</v>
      </c>
      <c r="I1425" s="1769">
        <f t="shared" si="298"/>
        <v>0.61682313349986118</v>
      </c>
    </row>
    <row r="1426" spans="1:9" ht="17.100000000000001" customHeight="1">
      <c r="A1426" s="1614"/>
      <c r="B1426" s="1627"/>
      <c r="C1426" s="2792" t="s">
        <v>821</v>
      </c>
      <c r="D1426" s="2796" t="s">
        <v>771</v>
      </c>
      <c r="E1426" s="2807">
        <v>6545</v>
      </c>
      <c r="F1426" s="2807">
        <v>2840</v>
      </c>
      <c r="G1426" s="2789">
        <v>25789</v>
      </c>
      <c r="H1426" s="2790">
        <v>19672.330000000002</v>
      </c>
      <c r="I1426" s="1769">
        <f t="shared" si="298"/>
        <v>0.76281864360773977</v>
      </c>
    </row>
    <row r="1427" spans="1:9" ht="17.100000000000001" customHeight="1">
      <c r="A1427" s="1614"/>
      <c r="B1427" s="1627"/>
      <c r="C1427" s="2792" t="s">
        <v>1075</v>
      </c>
      <c r="D1427" s="2796" t="s">
        <v>772</v>
      </c>
      <c r="E1427" s="2807"/>
      <c r="F1427" s="2807">
        <v>0</v>
      </c>
      <c r="G1427" s="2789">
        <f>3675</f>
        <v>3675</v>
      </c>
      <c r="H1427" s="2790">
        <v>3417.71</v>
      </c>
      <c r="I1427" s="1769">
        <f t="shared" si="298"/>
        <v>0.92998911564625852</v>
      </c>
    </row>
    <row r="1428" spans="1:9" ht="15.75" customHeight="1">
      <c r="A1428" s="1614"/>
      <c r="B1428" s="1627"/>
      <c r="C1428" s="2792" t="s">
        <v>1076</v>
      </c>
      <c r="D1428" s="2796" t="s">
        <v>772</v>
      </c>
      <c r="E1428" s="2807">
        <v>4723</v>
      </c>
      <c r="F1428" s="2807">
        <v>66838</v>
      </c>
      <c r="G1428" s="2789">
        <v>50069</v>
      </c>
      <c r="H1428" s="2790">
        <v>28986.98</v>
      </c>
      <c r="I1428" s="1769">
        <f t="shared" si="295"/>
        <v>0.57894066188659654</v>
      </c>
    </row>
    <row r="1429" spans="1:9" ht="15.75" customHeight="1">
      <c r="A1429" s="1614"/>
      <c r="B1429" s="1627"/>
      <c r="C1429" s="2792" t="s">
        <v>1005</v>
      </c>
      <c r="D1429" s="2796" t="s">
        <v>772</v>
      </c>
      <c r="E1429" s="2807">
        <v>277</v>
      </c>
      <c r="F1429" s="2807">
        <v>12139</v>
      </c>
      <c r="G1429" s="2789">
        <v>5337</v>
      </c>
      <c r="H1429" s="2790">
        <v>1769.87</v>
      </c>
      <c r="I1429" s="1769">
        <f t="shared" si="295"/>
        <v>0.33162263443882328</v>
      </c>
    </row>
    <row r="1430" spans="1:9" ht="17.100000000000001" customHeight="1">
      <c r="A1430" s="1614"/>
      <c r="B1430" s="1627"/>
      <c r="C1430" s="2792" t="s">
        <v>1070</v>
      </c>
      <c r="D1430" s="2796" t="s">
        <v>945</v>
      </c>
      <c r="E1430" s="2807">
        <v>119981</v>
      </c>
      <c r="F1430" s="2807">
        <v>0</v>
      </c>
      <c r="G1430" s="2789">
        <f>279+11171+10950</f>
        <v>22400</v>
      </c>
      <c r="H1430" s="2790">
        <v>22120.44</v>
      </c>
      <c r="I1430" s="1769">
        <f t="shared" si="295"/>
        <v>0.98751964285714278</v>
      </c>
    </row>
    <row r="1431" spans="1:9" ht="17.100000000000001" customHeight="1">
      <c r="A1431" s="1614"/>
      <c r="B1431" s="1627"/>
      <c r="C1431" s="2792" t="s">
        <v>1071</v>
      </c>
      <c r="D1431" s="2796" t="s">
        <v>945</v>
      </c>
      <c r="E1431" s="2807">
        <v>6686</v>
      </c>
      <c r="F1431" s="2807">
        <v>0</v>
      </c>
      <c r="G1431" s="2789">
        <f>50+2029+2042</f>
        <v>4121</v>
      </c>
      <c r="H1431" s="2790">
        <v>4071</v>
      </c>
      <c r="I1431" s="1769">
        <f t="shared" si="295"/>
        <v>0.98786702256733805</v>
      </c>
    </row>
    <row r="1432" spans="1:9" ht="17.100000000000001" customHeight="1">
      <c r="A1432" s="1614"/>
      <c r="B1432" s="1627"/>
      <c r="C1432" s="2792" t="s">
        <v>1006</v>
      </c>
      <c r="D1432" s="2796" t="s">
        <v>773</v>
      </c>
      <c r="E1432" s="2807">
        <v>17480</v>
      </c>
      <c r="F1432" s="2807">
        <v>3603</v>
      </c>
      <c r="G1432" s="2789">
        <f>1590+518</f>
        <v>2108</v>
      </c>
      <c r="H1432" s="2790">
        <v>1849.19</v>
      </c>
      <c r="I1432" s="1769">
        <f t="shared" si="295"/>
        <v>0.87722485768500946</v>
      </c>
    </row>
    <row r="1433" spans="1:9" ht="17.100000000000001" customHeight="1">
      <c r="A1433" s="1614"/>
      <c r="B1433" s="1627"/>
      <c r="C1433" s="2792" t="s">
        <v>980</v>
      </c>
      <c r="D1433" s="2796" t="s">
        <v>773</v>
      </c>
      <c r="E1433" s="2807">
        <v>1020</v>
      </c>
      <c r="F1433" s="2807">
        <v>1860</v>
      </c>
      <c r="G1433" s="2789">
        <f>290+8001</f>
        <v>8291</v>
      </c>
      <c r="H1433" s="2790">
        <v>8242.77</v>
      </c>
      <c r="I1433" s="1769">
        <f t="shared" si="295"/>
        <v>0.99418284887227115</v>
      </c>
    </row>
    <row r="1434" spans="1:9" ht="17.100000000000001" customHeight="1">
      <c r="A1434" s="1614"/>
      <c r="B1434" s="1627"/>
      <c r="C1434" s="2792" t="s">
        <v>933</v>
      </c>
      <c r="D1434" s="2796" t="s">
        <v>776</v>
      </c>
      <c r="E1434" s="2807">
        <v>363466</v>
      </c>
      <c r="F1434" s="2807">
        <v>0</v>
      </c>
      <c r="G1434" s="2789">
        <v>1976</v>
      </c>
      <c r="H1434" s="2790">
        <v>350.32</v>
      </c>
      <c r="I1434" s="1769">
        <f t="shared" si="295"/>
        <v>0.17728744939271254</v>
      </c>
    </row>
    <row r="1435" spans="1:9" ht="17.100000000000001" customHeight="1">
      <c r="A1435" s="1614"/>
      <c r="B1435" s="1627"/>
      <c r="C1435" s="2792" t="s">
        <v>864</v>
      </c>
      <c r="D1435" s="2796" t="s">
        <v>776</v>
      </c>
      <c r="E1435" s="2807">
        <v>363466</v>
      </c>
      <c r="F1435" s="2807">
        <v>150283</v>
      </c>
      <c r="G1435" s="2789">
        <f>13261+1098+45435+201802+11190</f>
        <v>272786</v>
      </c>
      <c r="H1435" s="2790">
        <v>243208.21</v>
      </c>
      <c r="I1435" s="1769">
        <f t="shared" si="295"/>
        <v>0.89157145161408569</v>
      </c>
    </row>
    <row r="1436" spans="1:9" ht="15.75" customHeight="1" thickBot="1">
      <c r="A1436" s="1644"/>
      <c r="B1436" s="1645"/>
      <c r="C1436" s="2833" t="s">
        <v>825</v>
      </c>
      <c r="D1436" s="2834" t="s">
        <v>776</v>
      </c>
      <c r="E1436" s="1678">
        <v>39527</v>
      </c>
      <c r="F1436" s="1678">
        <v>21564</v>
      </c>
      <c r="G1436" s="2218">
        <f>2409+200+8475+8768</f>
        <v>19852</v>
      </c>
      <c r="H1436" s="1747">
        <v>16087.75</v>
      </c>
      <c r="I1436" s="1651">
        <f t="shared" si="295"/>
        <v>0.81038434414668548</v>
      </c>
    </row>
    <row r="1437" spans="1:9" ht="27.75" hidden="1" customHeight="1">
      <c r="A1437" s="1614"/>
      <c r="B1437" s="1627"/>
      <c r="C1437" s="1659" t="s">
        <v>1062</v>
      </c>
      <c r="D1437" s="1660" t="s">
        <v>1063</v>
      </c>
      <c r="E1437" s="1661"/>
      <c r="F1437" s="1661"/>
      <c r="G1437" s="1881"/>
      <c r="H1437" s="1663"/>
      <c r="I1437" s="1769" t="e">
        <f t="shared" si="295"/>
        <v>#DIV/0!</v>
      </c>
    </row>
    <row r="1438" spans="1:9" ht="25.5" hidden="1">
      <c r="A1438" s="1614"/>
      <c r="B1438" s="1627"/>
      <c r="C1438" s="2835" t="s">
        <v>1077</v>
      </c>
      <c r="D1438" s="2836" t="s">
        <v>1078</v>
      </c>
      <c r="E1438" s="2837"/>
      <c r="F1438" s="2837"/>
      <c r="G1438" s="2789"/>
      <c r="H1438" s="2795"/>
      <c r="I1438" s="1769" t="e">
        <f t="shared" si="295"/>
        <v>#DIV/0!</v>
      </c>
    </row>
    <row r="1439" spans="1:9" ht="25.5" hidden="1">
      <c r="A1439" s="1614"/>
      <c r="B1439" s="1627"/>
      <c r="C1439" s="2835" t="s">
        <v>1079</v>
      </c>
      <c r="D1439" s="2836" t="s">
        <v>1078</v>
      </c>
      <c r="E1439" s="2837"/>
      <c r="F1439" s="2837"/>
      <c r="G1439" s="2789"/>
      <c r="H1439" s="2838"/>
      <c r="I1439" s="1769" t="e">
        <f t="shared" si="295"/>
        <v>#DIV/0!</v>
      </c>
    </row>
    <row r="1440" spans="1:9" ht="21" hidden="1" customHeight="1">
      <c r="A1440" s="1614"/>
      <c r="B1440" s="1627"/>
      <c r="C1440" s="2835" t="s">
        <v>1080</v>
      </c>
      <c r="D1440" s="2836" t="s">
        <v>1081</v>
      </c>
      <c r="E1440" s="2837">
        <v>13032</v>
      </c>
      <c r="F1440" s="2837">
        <v>0</v>
      </c>
      <c r="G1440" s="2789">
        <v>0</v>
      </c>
      <c r="H1440" s="2795"/>
      <c r="I1440" s="1769"/>
    </row>
    <row r="1441" spans="1:9" ht="17.100000000000001" customHeight="1">
      <c r="A1441" s="1614"/>
      <c r="B1441" s="1627"/>
      <c r="C1441" s="2835" t="s">
        <v>1007</v>
      </c>
      <c r="D1441" s="2836" t="s">
        <v>1081</v>
      </c>
      <c r="E1441" s="2837">
        <v>13032</v>
      </c>
      <c r="F1441" s="2837">
        <v>1074</v>
      </c>
      <c r="G1441" s="2789">
        <f>1019+4822+308</f>
        <v>6149</v>
      </c>
      <c r="H1441" s="2838">
        <v>1379.25</v>
      </c>
      <c r="I1441" s="1769">
        <f t="shared" si="295"/>
        <v>0.22430476500243943</v>
      </c>
    </row>
    <row r="1442" spans="1:9" ht="17.100000000000001" customHeight="1">
      <c r="A1442" s="1614"/>
      <c r="B1442" s="1627"/>
      <c r="C1442" s="2839" t="s">
        <v>1008</v>
      </c>
      <c r="D1442" s="2840" t="s">
        <v>1081</v>
      </c>
      <c r="E1442" s="2837">
        <v>1757</v>
      </c>
      <c r="F1442" s="2837">
        <v>351</v>
      </c>
      <c r="G1442" s="2789">
        <f>184+889+1027</f>
        <v>2100</v>
      </c>
      <c r="H1442" s="2838">
        <v>1223.6500000000001</v>
      </c>
      <c r="I1442" s="1769">
        <f t="shared" si="295"/>
        <v>0.5826904761904762</v>
      </c>
    </row>
    <row r="1443" spans="1:9" ht="17.100000000000001" customHeight="1">
      <c r="A1443" s="1614"/>
      <c r="B1443" s="1627"/>
      <c r="C1443" s="1690" t="s">
        <v>935</v>
      </c>
      <c r="D1443" s="1691" t="s">
        <v>917</v>
      </c>
      <c r="E1443" s="1661"/>
      <c r="F1443" s="1661">
        <v>0</v>
      </c>
      <c r="G1443" s="1881">
        <f>502</f>
        <v>502</v>
      </c>
      <c r="H1443" s="1663">
        <v>502</v>
      </c>
      <c r="I1443" s="1769">
        <f t="shared" si="295"/>
        <v>1</v>
      </c>
    </row>
    <row r="1444" spans="1:9" ht="17.100000000000001" customHeight="1">
      <c r="A1444" s="1614"/>
      <c r="B1444" s="1627"/>
      <c r="C1444" s="2841" t="s">
        <v>963</v>
      </c>
      <c r="D1444" s="2842" t="s">
        <v>917</v>
      </c>
      <c r="E1444" s="1661"/>
      <c r="F1444" s="1661">
        <v>0</v>
      </c>
      <c r="G1444" s="1881">
        <f>2848</f>
        <v>2848</v>
      </c>
      <c r="H1444" s="1663">
        <v>2848</v>
      </c>
      <c r="I1444" s="1769">
        <f t="shared" si="295"/>
        <v>1</v>
      </c>
    </row>
    <row r="1445" spans="1:9" ht="17.100000000000001" hidden="1" customHeight="1">
      <c r="A1445" s="1614"/>
      <c r="B1445" s="1627"/>
      <c r="C1445" s="1695" t="s">
        <v>937</v>
      </c>
      <c r="D1445" s="1696" t="s">
        <v>781</v>
      </c>
      <c r="E1445" s="1661">
        <v>25679</v>
      </c>
      <c r="F1445" s="1661">
        <v>0</v>
      </c>
      <c r="G1445" s="1881">
        <v>0</v>
      </c>
      <c r="H1445" s="1663">
        <v>0</v>
      </c>
      <c r="I1445" s="1769"/>
    </row>
    <row r="1446" spans="1:9" ht="17.100000000000001" customHeight="1">
      <c r="A1446" s="1614"/>
      <c r="B1446" s="1627"/>
      <c r="C1446" s="2843" t="s">
        <v>866</v>
      </c>
      <c r="D1446" s="2844" t="s">
        <v>781</v>
      </c>
      <c r="E1446" s="2837">
        <v>25679</v>
      </c>
      <c r="F1446" s="2837">
        <v>2881</v>
      </c>
      <c r="G1446" s="2789">
        <f>4335+3201+8466</f>
        <v>16002</v>
      </c>
      <c r="H1446" s="2838">
        <v>223.36</v>
      </c>
      <c r="I1446" s="1769">
        <f t="shared" si="295"/>
        <v>1.3958255218097739E-2</v>
      </c>
    </row>
    <row r="1447" spans="1:9" ht="17.100000000000001" customHeight="1">
      <c r="A1447" s="1614"/>
      <c r="B1447" s="1627"/>
      <c r="C1447" s="2839" t="s">
        <v>829</v>
      </c>
      <c r="D1447" s="2840" t="s">
        <v>781</v>
      </c>
      <c r="E1447" s="2837">
        <v>3089</v>
      </c>
      <c r="F1447" s="2837">
        <v>523</v>
      </c>
      <c r="G1447" s="2789">
        <f>787+582+1580</f>
        <v>2949</v>
      </c>
      <c r="H1447" s="2838">
        <v>40.64</v>
      </c>
      <c r="I1447" s="1769">
        <f t="shared" si="295"/>
        <v>1.3780942692438115E-2</v>
      </c>
    </row>
    <row r="1448" spans="1:9" ht="17.100000000000001" customHeight="1">
      <c r="A1448" s="1614"/>
      <c r="B1448" s="1627"/>
      <c r="C1448" s="2843" t="s">
        <v>868</v>
      </c>
      <c r="D1448" s="2844" t="s">
        <v>768</v>
      </c>
      <c r="E1448" s="2837"/>
      <c r="F1448" s="2837">
        <v>0</v>
      </c>
      <c r="G1448" s="2789">
        <f>719+3216+1013</f>
        <v>4948</v>
      </c>
      <c r="H1448" s="2838">
        <v>1144.3499999999999</v>
      </c>
      <c r="I1448" s="1769">
        <f t="shared" si="295"/>
        <v>0.23127526273241711</v>
      </c>
    </row>
    <row r="1449" spans="1:9" ht="17.100000000000001" customHeight="1">
      <c r="A1449" s="1614"/>
      <c r="B1449" s="1627"/>
      <c r="C1449" s="2839" t="s">
        <v>837</v>
      </c>
      <c r="D1449" s="2840" t="s">
        <v>768</v>
      </c>
      <c r="E1449" s="2837"/>
      <c r="F1449" s="2837">
        <v>0</v>
      </c>
      <c r="G1449" s="2789">
        <f>136+584+189</f>
        <v>909</v>
      </c>
      <c r="H1449" s="2838">
        <v>210.63</v>
      </c>
      <c r="I1449" s="1769">
        <f t="shared" si="295"/>
        <v>0.23171617161716171</v>
      </c>
    </row>
    <row r="1450" spans="1:9" ht="17.100000000000001" customHeight="1">
      <c r="A1450" s="1614"/>
      <c r="B1450" s="1627"/>
      <c r="C1450" s="2845"/>
      <c r="D1450" s="2845"/>
      <c r="E1450" s="2846"/>
      <c r="F1450" s="2846"/>
      <c r="G1450" s="1881"/>
      <c r="H1450" s="1663"/>
      <c r="I1450" s="1769"/>
    </row>
    <row r="1451" spans="1:9" ht="17.100000000000001" customHeight="1">
      <c r="A1451" s="1614"/>
      <c r="B1451" s="1627"/>
      <c r="C1451" s="4835" t="s">
        <v>793</v>
      </c>
      <c r="D1451" s="4835"/>
      <c r="E1451" s="2847">
        <f t="shared" ref="E1451:H1451" si="299">E1452</f>
        <v>64000</v>
      </c>
      <c r="F1451" s="2847">
        <f t="shared" si="299"/>
        <v>20000</v>
      </c>
      <c r="G1451" s="2848">
        <f t="shared" si="299"/>
        <v>20000</v>
      </c>
      <c r="H1451" s="2849">
        <f t="shared" si="299"/>
        <v>20000</v>
      </c>
      <c r="I1451" s="1780">
        <f t="shared" si="295"/>
        <v>1</v>
      </c>
    </row>
    <row r="1452" spans="1:9" ht="17.100000000000001" customHeight="1">
      <c r="A1452" s="1614"/>
      <c r="B1452" s="1627"/>
      <c r="C1452" s="4644" t="s">
        <v>794</v>
      </c>
      <c r="D1452" s="4660"/>
      <c r="E1452" s="1661">
        <f>SUM(E1453:E1456)</f>
        <v>64000</v>
      </c>
      <c r="F1452" s="1661">
        <f>SUM(F1453:F1456)</f>
        <v>20000</v>
      </c>
      <c r="G1452" s="1760">
        <f t="shared" ref="G1452:H1452" si="300">SUM(G1453:G1456)</f>
        <v>20000</v>
      </c>
      <c r="H1452" s="1663">
        <f t="shared" si="300"/>
        <v>20000</v>
      </c>
      <c r="I1452" s="1769">
        <f t="shared" si="295"/>
        <v>1</v>
      </c>
    </row>
    <row r="1453" spans="1:9" ht="17.100000000000001" hidden="1" customHeight="1">
      <c r="A1453" s="1614"/>
      <c r="B1453" s="1627"/>
      <c r="C1453" s="2850" t="s">
        <v>89</v>
      </c>
      <c r="D1453" s="2851" t="s">
        <v>795</v>
      </c>
      <c r="E1453" s="1661">
        <v>64000</v>
      </c>
      <c r="F1453" s="1661">
        <v>0</v>
      </c>
      <c r="G1453" s="2789">
        <v>0</v>
      </c>
      <c r="H1453" s="2838">
        <v>0</v>
      </c>
      <c r="I1453" s="1769"/>
    </row>
    <row r="1454" spans="1:9" ht="17.100000000000001" customHeight="1" thickBot="1">
      <c r="A1454" s="1638"/>
      <c r="B1454" s="1645"/>
      <c r="C1454" s="2852" t="s">
        <v>24</v>
      </c>
      <c r="D1454" s="1920" t="s">
        <v>842</v>
      </c>
      <c r="E1454" s="1814">
        <v>0</v>
      </c>
      <c r="F1454" s="1814">
        <v>20000</v>
      </c>
      <c r="G1454" s="2853">
        <v>20000</v>
      </c>
      <c r="H1454" s="1747">
        <v>20000</v>
      </c>
      <c r="I1454" s="1651">
        <f t="shared" si="295"/>
        <v>1</v>
      </c>
    </row>
    <row r="1455" spans="1:9" ht="17.100000000000001" hidden="1" customHeight="1">
      <c r="A1455" s="1638"/>
      <c r="B1455" s="1627"/>
      <c r="C1455" s="1690" t="s">
        <v>869</v>
      </c>
      <c r="D1455" s="1691" t="s">
        <v>842</v>
      </c>
      <c r="E1455" s="1661"/>
      <c r="F1455" s="1661">
        <v>0</v>
      </c>
      <c r="G1455" s="1881"/>
      <c r="H1455" s="1663"/>
      <c r="I1455" s="1769" t="e">
        <f t="shared" ref="I1455:I1519" si="301">H1455/G1455</f>
        <v>#DIV/0!</v>
      </c>
    </row>
    <row r="1456" spans="1:9" ht="17.100000000000001" hidden="1" customHeight="1">
      <c r="A1456" s="1638"/>
      <c r="B1456" s="1627"/>
      <c r="C1456" s="2841" t="s">
        <v>890</v>
      </c>
      <c r="D1456" s="2851" t="s">
        <v>842</v>
      </c>
      <c r="E1456" s="2837"/>
      <c r="F1456" s="2837">
        <v>0</v>
      </c>
      <c r="G1456" s="2789"/>
      <c r="H1456" s="2838"/>
      <c r="I1456" s="1769" t="e">
        <f t="shared" si="301"/>
        <v>#DIV/0!</v>
      </c>
    </row>
    <row r="1457" spans="1:9" ht="17.100000000000001" hidden="1" customHeight="1">
      <c r="A1457" s="1638"/>
      <c r="B1457" s="1627"/>
      <c r="C1457" s="1695"/>
      <c r="D1457" s="1696"/>
      <c r="E1457" s="1668"/>
      <c r="F1457" s="1668"/>
      <c r="G1457" s="2789"/>
      <c r="H1457" s="2838"/>
      <c r="I1457" s="1769" t="e">
        <f t="shared" si="301"/>
        <v>#DIV/0!</v>
      </c>
    </row>
    <row r="1458" spans="1:9" ht="17.100000000000001" hidden="1" customHeight="1">
      <c r="A1458" s="1638"/>
      <c r="B1458" s="1627"/>
      <c r="C1458" s="4832" t="s">
        <v>801</v>
      </c>
      <c r="D1458" s="4836"/>
      <c r="E1458" s="2854">
        <f>SUM(E1459:E1460)</f>
        <v>0</v>
      </c>
      <c r="F1458" s="2854">
        <f t="shared" ref="F1458" si="302">SUM(F1459:F1460)</f>
        <v>0</v>
      </c>
      <c r="G1458" s="2789"/>
      <c r="H1458" s="2838"/>
      <c r="I1458" s="1769" t="e">
        <f t="shared" si="301"/>
        <v>#DIV/0!</v>
      </c>
    </row>
    <row r="1459" spans="1:9" ht="17.100000000000001" hidden="1" customHeight="1">
      <c r="A1459" s="1638"/>
      <c r="B1459" s="1627"/>
      <c r="C1459" s="1659" t="s">
        <v>869</v>
      </c>
      <c r="D1459" s="1660" t="s">
        <v>842</v>
      </c>
      <c r="E1459" s="2837"/>
      <c r="F1459" s="2837">
        <v>0</v>
      </c>
      <c r="G1459" s="2789"/>
      <c r="H1459" s="2838"/>
      <c r="I1459" s="1769" t="e">
        <f t="shared" si="301"/>
        <v>#DIV/0!</v>
      </c>
    </row>
    <row r="1460" spans="1:9" ht="17.100000000000001" hidden="1" customHeight="1" thickBot="1">
      <c r="A1460" s="1638"/>
      <c r="B1460" s="1627"/>
      <c r="C1460" s="2000" t="s">
        <v>890</v>
      </c>
      <c r="D1460" s="1696" t="s">
        <v>842</v>
      </c>
      <c r="E1460" s="1668"/>
      <c r="F1460" s="1668">
        <v>0</v>
      </c>
      <c r="G1460" s="2166"/>
      <c r="H1460" s="2306"/>
      <c r="I1460" s="1725" t="e">
        <f t="shared" si="301"/>
        <v>#DIV/0!</v>
      </c>
    </row>
    <row r="1461" spans="1:9" ht="17.100000000000001" customHeight="1" thickBot="1">
      <c r="A1461" s="1638"/>
      <c r="B1461" s="2691" t="s">
        <v>1082</v>
      </c>
      <c r="C1461" s="1727"/>
      <c r="D1461" s="1728" t="s">
        <v>627</v>
      </c>
      <c r="E1461" s="2738">
        <f>SUM(E1462+E1500)</f>
        <v>10193148</v>
      </c>
      <c r="F1461" s="2738">
        <f t="shared" ref="F1461:H1461" si="303">SUM(F1462+F1500)</f>
        <v>11482805</v>
      </c>
      <c r="G1461" s="2767">
        <f t="shared" si="303"/>
        <v>11604165</v>
      </c>
      <c r="H1461" s="2720">
        <f t="shared" si="303"/>
        <v>11426795.970000003</v>
      </c>
      <c r="I1461" s="2702">
        <f t="shared" si="301"/>
        <v>0.98471505446535812</v>
      </c>
    </row>
    <row r="1462" spans="1:9" ht="17.100000000000001" customHeight="1">
      <c r="A1462" s="1614"/>
      <c r="B1462" s="1627"/>
      <c r="C1462" s="4633" t="s">
        <v>760</v>
      </c>
      <c r="D1462" s="4633"/>
      <c r="E1462" s="1615">
        <f>E1463+E1491+E1494</f>
        <v>10193148</v>
      </c>
      <c r="F1462" s="1615">
        <f t="shared" ref="F1462:H1462" si="304">F1463+F1491+F1494</f>
        <v>11482805</v>
      </c>
      <c r="G1462" s="1616">
        <f t="shared" si="304"/>
        <v>11604165</v>
      </c>
      <c r="H1462" s="1617">
        <f t="shared" si="304"/>
        <v>11426795.970000003</v>
      </c>
      <c r="I1462" s="1780">
        <f t="shared" si="301"/>
        <v>0.98471505446535812</v>
      </c>
    </row>
    <row r="1463" spans="1:9" ht="17.100000000000001" customHeight="1">
      <c r="A1463" s="1614"/>
      <c r="B1463" s="1627"/>
      <c r="C1463" s="4830" t="s">
        <v>761</v>
      </c>
      <c r="D1463" s="4830"/>
      <c r="E1463" s="2837">
        <f>E1464+E1472</f>
        <v>10181338</v>
      </c>
      <c r="F1463" s="2837">
        <f t="shared" ref="F1463:H1463" si="305">F1464+F1472</f>
        <v>11467501</v>
      </c>
      <c r="G1463" s="2855">
        <f t="shared" si="305"/>
        <v>11582354</v>
      </c>
      <c r="H1463" s="2838">
        <f t="shared" si="305"/>
        <v>11405491.330000002</v>
      </c>
      <c r="I1463" s="1769">
        <f t="shared" si="301"/>
        <v>0.98472998925779698</v>
      </c>
    </row>
    <row r="1464" spans="1:9" ht="17.100000000000001" customHeight="1">
      <c r="A1464" s="1614"/>
      <c r="B1464" s="1627"/>
      <c r="C1464" s="4831" t="s">
        <v>762</v>
      </c>
      <c r="D1464" s="4831"/>
      <c r="E1464" s="2854">
        <f t="shared" ref="E1464" si="306">SUM(E1465:E1469)</f>
        <v>7856217</v>
      </c>
      <c r="F1464" s="2854">
        <f>SUM(F1465:F1470)</f>
        <v>9032908</v>
      </c>
      <c r="G1464" s="2854">
        <f t="shared" ref="G1464:H1464" si="307">SUM(G1465:G1470)</f>
        <v>8941847</v>
      </c>
      <c r="H1464" s="2856">
        <f t="shared" si="307"/>
        <v>8881874.9000000022</v>
      </c>
      <c r="I1464" s="1783">
        <f t="shared" si="301"/>
        <v>0.99329309705254432</v>
      </c>
    </row>
    <row r="1465" spans="1:9" ht="17.100000000000001" customHeight="1">
      <c r="A1465" s="4716"/>
      <c r="B1465" s="4716"/>
      <c r="C1465" s="2839" t="s">
        <v>61</v>
      </c>
      <c r="D1465" s="2840" t="s">
        <v>763</v>
      </c>
      <c r="E1465" s="2837">
        <v>6144380</v>
      </c>
      <c r="F1465" s="2837">
        <v>7033171</v>
      </c>
      <c r="G1465" s="2789">
        <v>6975560</v>
      </c>
      <c r="H1465" s="2838">
        <v>6950161.9100000001</v>
      </c>
      <c r="I1465" s="1769">
        <f t="shared" si="301"/>
        <v>0.99635898909908316</v>
      </c>
    </row>
    <row r="1466" spans="1:9" ht="17.100000000000001" customHeight="1">
      <c r="A1466" s="4716"/>
      <c r="B1466" s="4716"/>
      <c r="C1466" s="1659" t="s">
        <v>315</v>
      </c>
      <c r="D1466" s="1660" t="s">
        <v>764</v>
      </c>
      <c r="E1466" s="1661">
        <v>483142</v>
      </c>
      <c r="F1466" s="1661">
        <v>573177</v>
      </c>
      <c r="G1466" s="1881">
        <v>550731</v>
      </c>
      <c r="H1466" s="1663">
        <v>550728.38</v>
      </c>
      <c r="I1466" s="1769">
        <f t="shared" si="301"/>
        <v>0.9999952426865385</v>
      </c>
    </row>
    <row r="1467" spans="1:9" ht="17.100000000000001" customHeight="1">
      <c r="A1467" s="1614"/>
      <c r="B1467" s="1627"/>
      <c r="C1467" s="2843" t="s">
        <v>62</v>
      </c>
      <c r="D1467" s="2844" t="s">
        <v>765</v>
      </c>
      <c r="E1467" s="2837">
        <v>1088273</v>
      </c>
      <c r="F1467" s="2837">
        <v>1244366</v>
      </c>
      <c r="G1467" s="2789">
        <v>1248673</v>
      </c>
      <c r="H1467" s="2838">
        <v>1229185.42</v>
      </c>
      <c r="I1467" s="1769">
        <f t="shared" si="301"/>
        <v>0.98439336799946819</v>
      </c>
    </row>
    <row r="1468" spans="1:9" ht="27.75" customHeight="1">
      <c r="A1468" s="1614"/>
      <c r="B1468" s="1627"/>
      <c r="C1468" s="2857" t="s">
        <v>63</v>
      </c>
      <c r="D1468" s="2851" t="s">
        <v>766</v>
      </c>
      <c r="E1468" s="2837">
        <v>107514</v>
      </c>
      <c r="F1468" s="2837">
        <v>150794</v>
      </c>
      <c r="G1468" s="2789">
        <v>123201</v>
      </c>
      <c r="H1468" s="2838">
        <v>122507.88</v>
      </c>
      <c r="I1468" s="1769">
        <f t="shared" si="301"/>
        <v>0.99437407163902891</v>
      </c>
    </row>
    <row r="1469" spans="1:9" ht="17.100000000000001" customHeight="1">
      <c r="A1469" s="1614"/>
      <c r="B1469" s="1627"/>
      <c r="C1469" s="2841" t="s">
        <v>324</v>
      </c>
      <c r="D1469" s="1696" t="s">
        <v>767</v>
      </c>
      <c r="E1469" s="2837">
        <v>32908</v>
      </c>
      <c r="F1469" s="2837">
        <v>31400</v>
      </c>
      <c r="G1469" s="2789">
        <v>26400</v>
      </c>
      <c r="H1469" s="2838">
        <v>12500</v>
      </c>
      <c r="I1469" s="1769">
        <f t="shared" si="301"/>
        <v>0.47348484848484851</v>
      </c>
    </row>
    <row r="1470" spans="1:9" ht="17.100000000000001" customHeight="1">
      <c r="A1470" s="1614"/>
      <c r="B1470" s="1627"/>
      <c r="C1470" s="2000" t="s">
        <v>335</v>
      </c>
      <c r="D1470" s="2858" t="s">
        <v>768</v>
      </c>
      <c r="E1470" s="2732"/>
      <c r="F1470" s="1668">
        <v>0</v>
      </c>
      <c r="G1470" s="2789">
        <v>17282</v>
      </c>
      <c r="H1470" s="2795">
        <v>16791.310000000001</v>
      </c>
      <c r="I1470" s="1769">
        <f t="shared" si="301"/>
        <v>0.97160687420437453</v>
      </c>
    </row>
    <row r="1471" spans="1:9" ht="17.100000000000001" customHeight="1">
      <c r="A1471" s="1614"/>
      <c r="B1471" s="1627"/>
      <c r="C1471" s="2859"/>
      <c r="D1471" s="2859"/>
      <c r="E1471" s="2860"/>
      <c r="F1471" s="2860"/>
      <c r="G1471" s="2789"/>
      <c r="H1471" s="2795"/>
      <c r="I1471" s="1769"/>
    </row>
    <row r="1472" spans="1:9" ht="17.100000000000001" customHeight="1">
      <c r="A1472" s="1614"/>
      <c r="B1472" s="1627"/>
      <c r="C1472" s="4832" t="s">
        <v>769</v>
      </c>
      <c r="D1472" s="4832"/>
      <c r="E1472" s="2861">
        <f t="shared" ref="E1472:H1472" si="308">SUM(E1473:E1489)</f>
        <v>2325121</v>
      </c>
      <c r="F1472" s="2861">
        <f t="shared" si="308"/>
        <v>2434593</v>
      </c>
      <c r="G1472" s="2862">
        <f t="shared" si="308"/>
        <v>2640507</v>
      </c>
      <c r="H1472" s="2863">
        <f t="shared" si="308"/>
        <v>2523616.4299999997</v>
      </c>
      <c r="I1472" s="1783">
        <f t="shared" si="301"/>
        <v>0.95573177045165936</v>
      </c>
    </row>
    <row r="1473" spans="1:9" ht="27.75" customHeight="1">
      <c r="A1473" s="1614"/>
      <c r="B1473" s="1627"/>
      <c r="C1473" s="1659" t="s">
        <v>332</v>
      </c>
      <c r="D1473" s="1660" t="s">
        <v>770</v>
      </c>
      <c r="E1473" s="1661">
        <v>43048</v>
      </c>
      <c r="F1473" s="1661">
        <v>48400</v>
      </c>
      <c r="G1473" s="2789">
        <v>44070</v>
      </c>
      <c r="H1473" s="2795">
        <v>43070</v>
      </c>
      <c r="I1473" s="1769">
        <f t="shared" si="301"/>
        <v>0.97730882686634901</v>
      </c>
    </row>
    <row r="1474" spans="1:9" ht="17.100000000000001" customHeight="1">
      <c r="A1474" s="1614"/>
      <c r="B1474" s="1627"/>
      <c r="C1474" s="2835" t="s">
        <v>22</v>
      </c>
      <c r="D1474" s="2836" t="s">
        <v>771</v>
      </c>
      <c r="E1474" s="1661">
        <v>230340</v>
      </c>
      <c r="F1474" s="1661">
        <v>282283</v>
      </c>
      <c r="G1474" s="2789">
        <v>385855</v>
      </c>
      <c r="H1474" s="2795">
        <v>371549.96</v>
      </c>
      <c r="I1474" s="1769">
        <f t="shared" si="301"/>
        <v>0.96292638426351873</v>
      </c>
    </row>
    <row r="1475" spans="1:9" ht="17.100000000000001" customHeight="1">
      <c r="A1475" s="1614"/>
      <c r="B1475" s="1627"/>
      <c r="C1475" s="2835" t="s">
        <v>326</v>
      </c>
      <c r="D1475" s="2836" t="s">
        <v>772</v>
      </c>
      <c r="E1475" s="1661">
        <v>1100</v>
      </c>
      <c r="F1475" s="1661">
        <v>2500</v>
      </c>
      <c r="G1475" s="2789">
        <v>2500</v>
      </c>
      <c r="H1475" s="2795">
        <v>0</v>
      </c>
      <c r="I1475" s="1769">
        <f t="shared" si="301"/>
        <v>0</v>
      </c>
    </row>
    <row r="1476" spans="1:9" ht="17.100000000000001" customHeight="1" thickBot="1">
      <c r="A1476" s="1644"/>
      <c r="B1476" s="1645"/>
      <c r="C1476" s="2864" t="s">
        <v>329</v>
      </c>
      <c r="D1476" s="2865" t="s">
        <v>945</v>
      </c>
      <c r="E1476" s="1814">
        <v>127890</v>
      </c>
      <c r="F1476" s="1814">
        <v>93000</v>
      </c>
      <c r="G1476" s="2218">
        <v>95062</v>
      </c>
      <c r="H1476" s="2866">
        <v>90790.84</v>
      </c>
      <c r="I1476" s="1651">
        <f t="shared" si="301"/>
        <v>0.95506974395657562</v>
      </c>
    </row>
    <row r="1477" spans="1:9" ht="17.100000000000001" customHeight="1">
      <c r="A1477" s="1614"/>
      <c r="B1477" s="1627"/>
      <c r="C1477" s="1659" t="s">
        <v>316</v>
      </c>
      <c r="D1477" s="1660" t="s">
        <v>773</v>
      </c>
      <c r="E1477" s="1661">
        <v>521268</v>
      </c>
      <c r="F1477" s="1661">
        <v>552154</v>
      </c>
      <c r="G1477" s="1881">
        <v>569064</v>
      </c>
      <c r="H1477" s="1663">
        <v>552062.34</v>
      </c>
      <c r="I1477" s="1769">
        <f t="shared" si="301"/>
        <v>0.97012346590190202</v>
      </c>
    </row>
    <row r="1478" spans="1:9" ht="17.100000000000001" customHeight="1">
      <c r="A1478" s="1614"/>
      <c r="B1478" s="1627"/>
      <c r="C1478" s="2835" t="s">
        <v>87</v>
      </c>
      <c r="D1478" s="2836" t="s">
        <v>774</v>
      </c>
      <c r="E1478" s="1661">
        <v>110764</v>
      </c>
      <c r="F1478" s="1661">
        <v>155558</v>
      </c>
      <c r="G1478" s="2789">
        <v>215558</v>
      </c>
      <c r="H1478" s="2795">
        <v>147110.35</v>
      </c>
      <c r="I1478" s="1769">
        <f t="shared" si="301"/>
        <v>0.68246295660564682</v>
      </c>
    </row>
    <row r="1479" spans="1:9" ht="17.100000000000001" customHeight="1">
      <c r="A1479" s="1614"/>
      <c r="B1479" s="1627"/>
      <c r="C1479" s="2835" t="s">
        <v>317</v>
      </c>
      <c r="D1479" s="2836" t="s">
        <v>775</v>
      </c>
      <c r="E1479" s="1661">
        <v>7585</v>
      </c>
      <c r="F1479" s="1661">
        <v>9114</v>
      </c>
      <c r="G1479" s="2789">
        <v>9207</v>
      </c>
      <c r="H1479" s="2795">
        <v>8253.5</v>
      </c>
      <c r="I1479" s="1769">
        <f t="shared" si="301"/>
        <v>0.89643749321168675</v>
      </c>
    </row>
    <row r="1480" spans="1:9" ht="18.75" customHeight="1">
      <c r="A1480" s="1614"/>
      <c r="B1480" s="1627"/>
      <c r="C1480" s="2839" t="s">
        <v>23</v>
      </c>
      <c r="D1480" s="2840" t="s">
        <v>776</v>
      </c>
      <c r="E1480" s="1661">
        <v>422368</v>
      </c>
      <c r="F1480" s="1661">
        <v>419420</v>
      </c>
      <c r="G1480" s="2789">
        <v>501838</v>
      </c>
      <c r="H1480" s="2795">
        <v>494524.43</v>
      </c>
      <c r="I1480" s="1769">
        <f t="shared" si="301"/>
        <v>0.98542643243437122</v>
      </c>
    </row>
    <row r="1481" spans="1:9" ht="30.75" hidden="1" customHeight="1">
      <c r="A1481" s="1614"/>
      <c r="B1481" s="1627"/>
      <c r="C1481" s="1659" t="s">
        <v>1062</v>
      </c>
      <c r="D1481" s="1660" t="s">
        <v>1063</v>
      </c>
      <c r="E1481" s="1661">
        <v>35600</v>
      </c>
      <c r="F1481" s="1661"/>
      <c r="G1481" s="2789"/>
      <c r="H1481" s="2795"/>
      <c r="I1481" s="1769" t="e">
        <f t="shared" si="301"/>
        <v>#DIV/0!</v>
      </c>
    </row>
    <row r="1482" spans="1:9" ht="16.5" customHeight="1">
      <c r="A1482" s="1614"/>
      <c r="B1482" s="1627"/>
      <c r="C1482" s="2839" t="s">
        <v>318</v>
      </c>
      <c r="D1482" s="2840" t="s">
        <v>777</v>
      </c>
      <c r="E1482" s="1661">
        <v>93238</v>
      </c>
      <c r="F1482" s="1661">
        <v>88823</v>
      </c>
      <c r="G1482" s="2789">
        <v>69110</v>
      </c>
      <c r="H1482" s="2795">
        <v>68853.820000000007</v>
      </c>
      <c r="I1482" s="1769">
        <f t="shared" si="301"/>
        <v>0.99629315583851841</v>
      </c>
    </row>
    <row r="1483" spans="1:9" ht="29.25" customHeight="1">
      <c r="A1483" s="1614"/>
      <c r="B1483" s="1627"/>
      <c r="C1483" s="1659" t="s">
        <v>779</v>
      </c>
      <c r="D1483" s="1660" t="s">
        <v>780</v>
      </c>
      <c r="E1483" s="1661">
        <v>344891</v>
      </c>
      <c r="F1483" s="1661">
        <v>370656</v>
      </c>
      <c r="G1483" s="1881">
        <v>377514</v>
      </c>
      <c r="H1483" s="1663">
        <v>377411.67</v>
      </c>
      <c r="I1483" s="1769">
        <f t="shared" si="301"/>
        <v>0.9997289372049778</v>
      </c>
    </row>
    <row r="1484" spans="1:9" ht="17.100000000000001" customHeight="1">
      <c r="A1484" s="1614"/>
      <c r="B1484" s="1627"/>
      <c r="C1484" s="2843" t="s">
        <v>328</v>
      </c>
      <c r="D1484" s="2844" t="s">
        <v>781</v>
      </c>
      <c r="E1484" s="1661">
        <v>17461</v>
      </c>
      <c r="F1484" s="1661">
        <v>14071</v>
      </c>
      <c r="G1484" s="2789">
        <v>6638</v>
      </c>
      <c r="H1484" s="2795">
        <v>6033.92</v>
      </c>
      <c r="I1484" s="1769">
        <f t="shared" si="301"/>
        <v>0.9089966857487195</v>
      </c>
    </row>
    <row r="1485" spans="1:9" ht="17.100000000000001" customHeight="1">
      <c r="A1485" s="1614"/>
      <c r="B1485" s="1627"/>
      <c r="C1485" s="2799" t="s">
        <v>333</v>
      </c>
      <c r="D1485" s="2867" t="s">
        <v>782</v>
      </c>
      <c r="E1485" s="1661">
        <v>27892</v>
      </c>
      <c r="F1485" s="1661">
        <v>33674</v>
      </c>
      <c r="G1485" s="2789">
        <v>14477</v>
      </c>
      <c r="H1485" s="2795">
        <v>14476.75</v>
      </c>
      <c r="I1485" s="1769">
        <f t="shared" si="301"/>
        <v>0.99998273122884573</v>
      </c>
    </row>
    <row r="1486" spans="1:9" ht="17.100000000000001" customHeight="1">
      <c r="A1486" s="1614"/>
      <c r="B1486" s="1627"/>
      <c r="C1486" s="1659" t="s">
        <v>319</v>
      </c>
      <c r="D1486" s="1660" t="s">
        <v>783</v>
      </c>
      <c r="E1486" s="1661">
        <v>312288</v>
      </c>
      <c r="F1486" s="1661">
        <v>337513</v>
      </c>
      <c r="G1486" s="2789">
        <v>334853</v>
      </c>
      <c r="H1486" s="2795">
        <v>334730.55</v>
      </c>
      <c r="I1486" s="1769">
        <f t="shared" si="301"/>
        <v>0.99963431714812168</v>
      </c>
    </row>
    <row r="1487" spans="1:9" ht="17.100000000000001" customHeight="1">
      <c r="A1487" s="1614"/>
      <c r="B1487" s="1627"/>
      <c r="C1487" s="2868" t="s">
        <v>334</v>
      </c>
      <c r="D1487" s="2840" t="s">
        <v>787</v>
      </c>
      <c r="E1487" s="1661">
        <v>812</v>
      </c>
      <c r="F1487" s="1661">
        <v>6932</v>
      </c>
      <c r="G1487" s="2789">
        <v>312</v>
      </c>
      <c r="H1487" s="2795">
        <v>300</v>
      </c>
      <c r="I1487" s="1769">
        <f t="shared" si="301"/>
        <v>0.96153846153846156</v>
      </c>
    </row>
    <row r="1488" spans="1:9" ht="17.100000000000001" customHeight="1">
      <c r="A1488" s="1638"/>
      <c r="B1488" s="1638"/>
      <c r="C1488" s="2799" t="s">
        <v>788</v>
      </c>
      <c r="D1488" s="2867" t="s">
        <v>789</v>
      </c>
      <c r="E1488" s="2802">
        <v>0</v>
      </c>
      <c r="F1488" s="2802">
        <v>5000</v>
      </c>
      <c r="G1488" s="2789">
        <v>0</v>
      </c>
      <c r="H1488" s="2795">
        <v>0</v>
      </c>
      <c r="I1488" s="2813"/>
    </row>
    <row r="1489" spans="1:9" ht="28.5" customHeight="1">
      <c r="A1489" s="1638"/>
      <c r="B1489" s="1638"/>
      <c r="C1489" s="1659" t="s">
        <v>64</v>
      </c>
      <c r="D1489" s="1660" t="s">
        <v>790</v>
      </c>
      <c r="E1489" s="1661">
        <v>28576</v>
      </c>
      <c r="F1489" s="1661">
        <v>15495</v>
      </c>
      <c r="G1489" s="1881">
        <v>14449</v>
      </c>
      <c r="H1489" s="1663">
        <v>14448.3</v>
      </c>
      <c r="I1489" s="1769">
        <f t="shared" si="301"/>
        <v>0.99995155374074329</v>
      </c>
    </row>
    <row r="1490" spans="1:9" ht="17.100000000000001" customHeight="1">
      <c r="A1490" s="1614"/>
      <c r="B1490" s="1627"/>
      <c r="C1490" s="1688"/>
      <c r="D1490" s="1688"/>
      <c r="E1490" s="1638"/>
      <c r="F1490" s="1638"/>
      <c r="G1490" s="2789"/>
      <c r="H1490" s="2795"/>
      <c r="I1490" s="1769"/>
    </row>
    <row r="1491" spans="1:9" ht="17.100000000000001" customHeight="1">
      <c r="A1491" s="1614"/>
      <c r="B1491" s="1627"/>
      <c r="C1491" s="4833" t="s">
        <v>998</v>
      </c>
      <c r="D1491" s="4833"/>
      <c r="E1491" s="2869">
        <f t="shared" ref="E1491:H1491" si="309">E1492</f>
        <v>11810</v>
      </c>
      <c r="F1491" s="2869">
        <f t="shared" si="309"/>
        <v>15304</v>
      </c>
      <c r="G1491" s="2870">
        <f t="shared" si="309"/>
        <v>21811</v>
      </c>
      <c r="H1491" s="2871">
        <f t="shared" si="309"/>
        <v>21304.639999999999</v>
      </c>
      <c r="I1491" s="1769">
        <f t="shared" si="301"/>
        <v>0.9767841914630232</v>
      </c>
    </row>
    <row r="1492" spans="1:9" ht="17.100000000000001" customHeight="1" thickBot="1">
      <c r="A1492" s="1638"/>
      <c r="B1492" s="1627"/>
      <c r="C1492" s="2872" t="s">
        <v>314</v>
      </c>
      <c r="D1492" s="2873" t="s">
        <v>792</v>
      </c>
      <c r="E1492" s="2837">
        <v>11810</v>
      </c>
      <c r="F1492" s="2837">
        <v>15304</v>
      </c>
      <c r="G1492" s="2874">
        <v>21811</v>
      </c>
      <c r="H1492" s="2838">
        <v>21304.639999999999</v>
      </c>
      <c r="I1492" s="1769">
        <f t="shared" si="301"/>
        <v>0.9767841914630232</v>
      </c>
    </row>
    <row r="1493" spans="1:9" ht="17.100000000000001" hidden="1" customHeight="1">
      <c r="A1493" s="1638"/>
      <c r="B1493" s="1627"/>
      <c r="C1493" s="2875"/>
      <c r="D1493" s="2876"/>
      <c r="E1493" s="2846"/>
      <c r="F1493" s="2846"/>
      <c r="G1493" s="2789"/>
      <c r="H1493" s="2795"/>
      <c r="I1493" s="1769" t="e">
        <f t="shared" si="301"/>
        <v>#DIV/0!</v>
      </c>
    </row>
    <row r="1494" spans="1:9" ht="17.100000000000001" hidden="1" customHeight="1">
      <c r="A1494" s="1638"/>
      <c r="B1494" s="1627"/>
      <c r="C1494" s="4827" t="s">
        <v>803</v>
      </c>
      <c r="D1494" s="4827"/>
      <c r="E1494" s="2869">
        <f>SUM(E1495:E1498)</f>
        <v>0</v>
      </c>
      <c r="F1494" s="2869">
        <f t="shared" ref="F1494" si="310">SUM(F1495:F1498)</f>
        <v>0</v>
      </c>
      <c r="G1494" s="2874"/>
      <c r="H1494" s="2838"/>
      <c r="I1494" s="1769" t="e">
        <f t="shared" si="301"/>
        <v>#DIV/0!</v>
      </c>
    </row>
    <row r="1495" spans="1:9" ht="17.100000000000001" hidden="1" customHeight="1">
      <c r="A1495" s="1638"/>
      <c r="B1495" s="1627"/>
      <c r="C1495" s="2835" t="s">
        <v>61</v>
      </c>
      <c r="D1495" s="2836" t="s">
        <v>763</v>
      </c>
      <c r="E1495" s="2877"/>
      <c r="F1495" s="2878">
        <v>0</v>
      </c>
      <c r="G1495" s="2789"/>
      <c r="H1495" s="2795"/>
      <c r="I1495" s="1769" t="e">
        <f t="shared" si="301"/>
        <v>#DIV/0!</v>
      </c>
    </row>
    <row r="1496" spans="1:9" ht="17.100000000000001" hidden="1" customHeight="1">
      <c r="A1496" s="1638"/>
      <c r="B1496" s="1627"/>
      <c r="C1496" s="2835" t="s">
        <v>23</v>
      </c>
      <c r="D1496" s="2836" t="s">
        <v>776</v>
      </c>
      <c r="E1496" s="2877"/>
      <c r="F1496" s="2878">
        <v>0</v>
      </c>
      <c r="G1496" s="2789"/>
      <c r="H1496" s="2795"/>
      <c r="I1496" s="1769" t="e">
        <f t="shared" si="301"/>
        <v>#DIV/0!</v>
      </c>
    </row>
    <row r="1497" spans="1:9" ht="17.100000000000001" hidden="1" customHeight="1">
      <c r="A1497" s="1638"/>
      <c r="B1497" s="1627"/>
      <c r="C1497" s="2835" t="s">
        <v>864</v>
      </c>
      <c r="D1497" s="2836" t="s">
        <v>776</v>
      </c>
      <c r="E1497" s="2877"/>
      <c r="F1497" s="2877">
        <v>0</v>
      </c>
      <c r="G1497" s="2789"/>
      <c r="H1497" s="2795"/>
      <c r="I1497" s="1769" t="e">
        <f t="shared" si="301"/>
        <v>#DIV/0!</v>
      </c>
    </row>
    <row r="1498" spans="1:9" ht="17.100000000000001" hidden="1" customHeight="1">
      <c r="A1498" s="1638"/>
      <c r="B1498" s="1627"/>
      <c r="C1498" s="2843" t="s">
        <v>825</v>
      </c>
      <c r="D1498" s="2844" t="s">
        <v>776</v>
      </c>
      <c r="E1498" s="2879"/>
      <c r="F1498" s="2879">
        <v>0</v>
      </c>
      <c r="G1498" s="2789"/>
      <c r="H1498" s="2795"/>
      <c r="I1498" s="1769" t="e">
        <f t="shared" si="301"/>
        <v>#DIV/0!</v>
      </c>
    </row>
    <row r="1499" spans="1:9" ht="17.100000000000001" hidden="1" customHeight="1">
      <c r="A1499" s="1638"/>
      <c r="B1499" s="1627"/>
      <c r="C1499" s="2880"/>
      <c r="D1499" s="2881"/>
      <c r="E1499" s="2882"/>
      <c r="F1499" s="2882"/>
      <c r="G1499" s="2789"/>
      <c r="H1499" s="2883"/>
      <c r="I1499" s="1769" t="e">
        <f t="shared" si="301"/>
        <v>#DIV/0!</v>
      </c>
    </row>
    <row r="1500" spans="1:9" ht="17.100000000000001" hidden="1" customHeight="1">
      <c r="A1500" s="1638"/>
      <c r="B1500" s="1627"/>
      <c r="C1500" s="4828" t="s">
        <v>793</v>
      </c>
      <c r="D1500" s="4828"/>
      <c r="E1500" s="2884">
        <f>E1501</f>
        <v>0</v>
      </c>
      <c r="F1500" s="2884">
        <f t="shared" ref="F1500" si="311">F1501</f>
        <v>0</v>
      </c>
      <c r="G1500" s="2789"/>
      <c r="H1500" s="2883"/>
      <c r="I1500" s="1769" t="e">
        <f t="shared" si="301"/>
        <v>#DIV/0!</v>
      </c>
    </row>
    <row r="1501" spans="1:9" ht="17.100000000000001" hidden="1" customHeight="1">
      <c r="A1501" s="1638"/>
      <c r="B1501" s="1627"/>
      <c r="C1501" s="4644" t="s">
        <v>794</v>
      </c>
      <c r="D1501" s="4660"/>
      <c r="E1501" s="1661">
        <f>SUM(E1502:E1506)</f>
        <v>0</v>
      </c>
      <c r="F1501" s="1661">
        <f>SUM(F1502:F1506)</f>
        <v>0</v>
      </c>
      <c r="G1501" s="2789"/>
      <c r="H1501" s="2883"/>
      <c r="I1501" s="1769" t="e">
        <f t="shared" si="301"/>
        <v>#DIV/0!</v>
      </c>
    </row>
    <row r="1502" spans="1:9" ht="17.100000000000001" hidden="1" customHeight="1">
      <c r="A1502" s="1638"/>
      <c r="B1502" s="1627"/>
      <c r="C1502" s="2885" t="s">
        <v>891</v>
      </c>
      <c r="D1502" s="2886" t="s">
        <v>795</v>
      </c>
      <c r="E1502" s="1661"/>
      <c r="F1502" s="1661">
        <v>0</v>
      </c>
      <c r="G1502" s="2789"/>
      <c r="H1502" s="2883"/>
      <c r="I1502" s="1769" t="e">
        <f t="shared" si="301"/>
        <v>#DIV/0!</v>
      </c>
    </row>
    <row r="1503" spans="1:9" ht="17.100000000000001" hidden="1" customHeight="1">
      <c r="A1503" s="1638"/>
      <c r="B1503" s="1627"/>
      <c r="C1503" s="2887" t="s">
        <v>892</v>
      </c>
      <c r="D1503" s="2888" t="s">
        <v>795</v>
      </c>
      <c r="E1503" s="1661"/>
      <c r="F1503" s="2889">
        <v>0</v>
      </c>
      <c r="G1503" s="2789"/>
      <c r="H1503" s="2883"/>
      <c r="I1503" s="1769" t="e">
        <f t="shared" si="301"/>
        <v>#DIV/0!</v>
      </c>
    </row>
    <row r="1504" spans="1:9" ht="17.100000000000001" hidden="1" customHeight="1">
      <c r="A1504" s="1638"/>
      <c r="B1504" s="1627"/>
      <c r="C1504" s="1695" t="s">
        <v>24</v>
      </c>
      <c r="D1504" s="1696" t="s">
        <v>842</v>
      </c>
      <c r="E1504" s="1661"/>
      <c r="F1504" s="1668">
        <v>0</v>
      </c>
      <c r="G1504" s="2789"/>
      <c r="H1504" s="2883"/>
      <c r="I1504" s="1769" t="e">
        <f t="shared" si="301"/>
        <v>#DIV/0!</v>
      </c>
    </row>
    <row r="1505" spans="1:9" ht="17.100000000000001" hidden="1" customHeight="1">
      <c r="A1505" s="1638"/>
      <c r="B1505" s="1627"/>
      <c r="C1505" s="2890" t="s">
        <v>869</v>
      </c>
      <c r="D1505" s="2891" t="s">
        <v>842</v>
      </c>
      <c r="E1505" s="1661"/>
      <c r="F1505" s="2889">
        <v>0</v>
      </c>
      <c r="G1505" s="2789"/>
      <c r="H1505" s="2883"/>
      <c r="I1505" s="1769" t="e">
        <f t="shared" si="301"/>
        <v>#DIV/0!</v>
      </c>
    </row>
    <row r="1506" spans="1:9" ht="17.100000000000001" hidden="1" customHeight="1">
      <c r="A1506" s="1638"/>
      <c r="B1506" s="1627"/>
      <c r="C1506" s="2890" t="s">
        <v>890</v>
      </c>
      <c r="D1506" s="2891" t="s">
        <v>842</v>
      </c>
      <c r="E1506" s="1661"/>
      <c r="F1506" s="2889">
        <v>0</v>
      </c>
      <c r="G1506" s="2789"/>
      <c r="H1506" s="2883"/>
      <c r="I1506" s="1769" t="e">
        <f t="shared" si="301"/>
        <v>#DIV/0!</v>
      </c>
    </row>
    <row r="1507" spans="1:9" ht="17.100000000000001" hidden="1" customHeight="1">
      <c r="A1507" s="1638"/>
      <c r="B1507" s="1627"/>
      <c r="C1507" s="1695"/>
      <c r="D1507" s="1696"/>
      <c r="E1507" s="1668"/>
      <c r="F1507" s="1668"/>
      <c r="G1507" s="2789"/>
      <c r="H1507" s="2883"/>
      <c r="I1507" s="1769" t="e">
        <f t="shared" si="301"/>
        <v>#DIV/0!</v>
      </c>
    </row>
    <row r="1508" spans="1:9" ht="17.100000000000001" hidden="1" customHeight="1">
      <c r="A1508" s="1638"/>
      <c r="B1508" s="1627"/>
      <c r="C1508" s="4825" t="s">
        <v>801</v>
      </c>
      <c r="D1508" s="4829"/>
      <c r="E1508" s="2892">
        <f>SUM(E1509:E1512)</f>
        <v>0</v>
      </c>
      <c r="F1508" s="2892">
        <f>SUM(F1510:F1512)</f>
        <v>0</v>
      </c>
      <c r="G1508" s="2789"/>
      <c r="H1508" s="2893"/>
      <c r="I1508" s="1769" t="e">
        <f t="shared" si="301"/>
        <v>#DIV/0!</v>
      </c>
    </row>
    <row r="1509" spans="1:9" ht="17.100000000000001" hidden="1" customHeight="1">
      <c r="A1509" s="1638"/>
      <c r="B1509" s="1627"/>
      <c r="C1509" s="2885" t="s">
        <v>891</v>
      </c>
      <c r="D1509" s="2886" t="s">
        <v>795</v>
      </c>
      <c r="E1509" s="2894"/>
      <c r="F1509" s="2894">
        <v>0</v>
      </c>
      <c r="G1509" s="2789"/>
      <c r="H1509" s="2893"/>
      <c r="I1509" s="1769" t="e">
        <f t="shared" si="301"/>
        <v>#DIV/0!</v>
      </c>
    </row>
    <row r="1510" spans="1:9" ht="17.100000000000001" hidden="1" customHeight="1">
      <c r="A1510" s="1638"/>
      <c r="B1510" s="1627"/>
      <c r="C1510" s="2895" t="s">
        <v>892</v>
      </c>
      <c r="D1510" s="2896" t="s">
        <v>795</v>
      </c>
      <c r="E1510" s="2894"/>
      <c r="F1510" s="2894">
        <v>0</v>
      </c>
      <c r="G1510" s="2789"/>
      <c r="H1510" s="2893"/>
      <c r="I1510" s="1769" t="e">
        <f t="shared" si="301"/>
        <v>#DIV/0!</v>
      </c>
    </row>
    <row r="1511" spans="1:9" ht="17.100000000000001" hidden="1" customHeight="1">
      <c r="A1511" s="1638"/>
      <c r="B1511" s="1627"/>
      <c r="C1511" s="1659" t="s">
        <v>869</v>
      </c>
      <c r="D1511" s="1660" t="s">
        <v>842</v>
      </c>
      <c r="E1511" s="2894"/>
      <c r="F1511" s="2894">
        <v>0</v>
      </c>
      <c r="G1511" s="2789"/>
      <c r="H1511" s="2893"/>
      <c r="I1511" s="1769" t="e">
        <f t="shared" si="301"/>
        <v>#DIV/0!</v>
      </c>
    </row>
    <row r="1512" spans="1:9" ht="17.100000000000001" hidden="1" customHeight="1" thickBot="1">
      <c r="A1512" s="1638"/>
      <c r="B1512" s="1627"/>
      <c r="C1512" s="2000" t="s">
        <v>890</v>
      </c>
      <c r="D1512" s="1696" t="s">
        <v>842</v>
      </c>
      <c r="E1512" s="2894"/>
      <c r="F1512" s="1668"/>
      <c r="G1512" s="2789"/>
      <c r="H1512" s="2893"/>
      <c r="I1512" s="1725" t="e">
        <f t="shared" si="301"/>
        <v>#DIV/0!</v>
      </c>
    </row>
    <row r="1513" spans="1:9" ht="45" customHeight="1" thickBot="1">
      <c r="A1513" s="1638"/>
      <c r="B1513" s="2691" t="s">
        <v>279</v>
      </c>
      <c r="C1513" s="1727"/>
      <c r="D1513" s="1728" t="s">
        <v>1083</v>
      </c>
      <c r="E1513" s="2738">
        <f>E1514</f>
        <v>147907</v>
      </c>
      <c r="F1513" s="2738">
        <f t="shared" ref="F1513:H1513" si="312">F1514</f>
        <v>0</v>
      </c>
      <c r="G1513" s="2738">
        <f t="shared" si="312"/>
        <v>13988</v>
      </c>
      <c r="H1513" s="2720">
        <f t="shared" si="312"/>
        <v>13690.21</v>
      </c>
      <c r="I1513" s="2806">
        <f t="shared" si="301"/>
        <v>0.97871103803259929</v>
      </c>
    </row>
    <row r="1514" spans="1:9" ht="17.100000000000001" customHeight="1">
      <c r="A1514" s="1614"/>
      <c r="B1514" s="1627"/>
      <c r="C1514" s="4633" t="s">
        <v>760</v>
      </c>
      <c r="D1514" s="4633"/>
      <c r="E1514" s="1615">
        <f>E1515</f>
        <v>147907</v>
      </c>
      <c r="F1514" s="1615">
        <f>F1522</f>
        <v>0</v>
      </c>
      <c r="G1514" s="1615">
        <f t="shared" ref="G1514:H1514" si="313">G1522</f>
        <v>13988</v>
      </c>
      <c r="H1514" s="1617">
        <f t="shared" si="313"/>
        <v>13690.21</v>
      </c>
      <c r="I1514" s="1769">
        <f t="shared" si="301"/>
        <v>0.97871103803259929</v>
      </c>
    </row>
    <row r="1515" spans="1:9" ht="17.100000000000001" hidden="1" customHeight="1">
      <c r="A1515" s="1614"/>
      <c r="B1515" s="1627"/>
      <c r="C1515" s="4826" t="s">
        <v>761</v>
      </c>
      <c r="D1515" s="4826"/>
      <c r="E1515" s="2837">
        <f>E1516+E1522</f>
        <v>147907</v>
      </c>
      <c r="F1515" s="2837">
        <f t="shared" ref="F1515" si="314">F1516+F1522</f>
        <v>0</v>
      </c>
      <c r="G1515" s="2789"/>
      <c r="H1515" s="2838"/>
      <c r="I1515" s="1769" t="e">
        <f t="shared" si="301"/>
        <v>#DIV/0!</v>
      </c>
    </row>
    <row r="1516" spans="1:9" ht="17.100000000000001" hidden="1" customHeight="1">
      <c r="A1516" s="1614"/>
      <c r="B1516" s="1627"/>
      <c r="C1516" s="4824" t="s">
        <v>762</v>
      </c>
      <c r="D1516" s="4824"/>
      <c r="E1516" s="2854">
        <f>SUM(E1517:E1521)</f>
        <v>137507</v>
      </c>
      <c r="F1516" s="2854">
        <f t="shared" ref="F1516" si="315">SUM(F1517:F1521)</f>
        <v>0</v>
      </c>
      <c r="G1516" s="2789"/>
      <c r="H1516" s="2838"/>
      <c r="I1516" s="1769" t="e">
        <f t="shared" si="301"/>
        <v>#DIV/0!</v>
      </c>
    </row>
    <row r="1517" spans="1:9" ht="17.100000000000001" hidden="1" customHeight="1">
      <c r="A1517" s="1614"/>
      <c r="B1517" s="1627"/>
      <c r="C1517" s="2897" t="s">
        <v>61</v>
      </c>
      <c r="D1517" s="2898" t="s">
        <v>763</v>
      </c>
      <c r="E1517" s="2837">
        <v>101623</v>
      </c>
      <c r="F1517" s="2837">
        <v>0</v>
      </c>
      <c r="G1517" s="2789">
        <v>0</v>
      </c>
      <c r="H1517" s="2838">
        <v>0</v>
      </c>
      <c r="I1517" s="1769" t="e">
        <f t="shared" si="301"/>
        <v>#DIV/0!</v>
      </c>
    </row>
    <row r="1518" spans="1:9" ht="17.100000000000001" hidden="1" customHeight="1">
      <c r="A1518" s="1614"/>
      <c r="B1518" s="1627"/>
      <c r="C1518" s="2899" t="s">
        <v>315</v>
      </c>
      <c r="D1518" s="2900" t="s">
        <v>764</v>
      </c>
      <c r="E1518" s="2837">
        <v>13374</v>
      </c>
      <c r="F1518" s="2837">
        <v>0</v>
      </c>
      <c r="G1518" s="2789">
        <v>0</v>
      </c>
      <c r="H1518" s="2838">
        <v>0</v>
      </c>
      <c r="I1518" s="1769" t="e">
        <f t="shared" si="301"/>
        <v>#DIV/0!</v>
      </c>
    </row>
    <row r="1519" spans="1:9" ht="17.100000000000001" hidden="1" customHeight="1">
      <c r="A1519" s="1614"/>
      <c r="B1519" s="1627"/>
      <c r="C1519" s="2899" t="s">
        <v>62</v>
      </c>
      <c r="D1519" s="2900" t="s">
        <v>765</v>
      </c>
      <c r="E1519" s="2837">
        <v>19693</v>
      </c>
      <c r="F1519" s="2837">
        <v>0</v>
      </c>
      <c r="G1519" s="2789">
        <v>0</v>
      </c>
      <c r="H1519" s="2838">
        <v>0</v>
      </c>
      <c r="I1519" s="1769" t="e">
        <f t="shared" si="301"/>
        <v>#DIV/0!</v>
      </c>
    </row>
    <row r="1520" spans="1:9" ht="30.75" hidden="1" customHeight="1">
      <c r="A1520" s="1614"/>
      <c r="B1520" s="1627"/>
      <c r="C1520" s="2857" t="s">
        <v>63</v>
      </c>
      <c r="D1520" s="2867" t="s">
        <v>766</v>
      </c>
      <c r="E1520" s="2837">
        <v>2817</v>
      </c>
      <c r="F1520" s="2837">
        <v>0</v>
      </c>
      <c r="G1520" s="2789">
        <v>0</v>
      </c>
      <c r="H1520" s="2838">
        <v>0</v>
      </c>
      <c r="I1520" s="1769" t="e">
        <f t="shared" ref="I1520:I1584" si="316">H1520/G1520</f>
        <v>#DIV/0!</v>
      </c>
    </row>
    <row r="1521" spans="1:9" ht="17.100000000000001" hidden="1" customHeight="1">
      <c r="A1521" s="1614"/>
      <c r="B1521" s="1627"/>
      <c r="C1521" s="2000"/>
      <c r="D1521" s="1696"/>
      <c r="E1521" s="1668"/>
      <c r="F1521" s="1668"/>
      <c r="G1521" s="2789"/>
      <c r="H1521" s="2838"/>
      <c r="I1521" s="1769" t="e">
        <f t="shared" si="316"/>
        <v>#DIV/0!</v>
      </c>
    </row>
    <row r="1522" spans="1:9" ht="17.100000000000001" customHeight="1">
      <c r="A1522" s="1614"/>
      <c r="B1522" s="1627"/>
      <c r="C1522" s="4825" t="s">
        <v>769</v>
      </c>
      <c r="D1522" s="4825"/>
      <c r="E1522" s="2901">
        <f>SUM(E1523:E1528)</f>
        <v>10400</v>
      </c>
      <c r="F1522" s="2901">
        <f>SUM(F1523:F1528)</f>
        <v>0</v>
      </c>
      <c r="G1522" s="2901">
        <f t="shared" ref="G1522:H1522" si="317">SUM(G1523:G1528)</f>
        <v>13988</v>
      </c>
      <c r="H1522" s="2902">
        <f t="shared" si="317"/>
        <v>13690.21</v>
      </c>
      <c r="I1522" s="1769">
        <f t="shared" si="316"/>
        <v>0.97871103803259929</v>
      </c>
    </row>
    <row r="1523" spans="1:9" ht="17.100000000000001" hidden="1" customHeight="1">
      <c r="A1523" s="1614"/>
      <c r="B1523" s="1627"/>
      <c r="C1523" s="1659" t="s">
        <v>22</v>
      </c>
      <c r="D1523" s="1660" t="s">
        <v>771</v>
      </c>
      <c r="E1523" s="1661">
        <v>2400</v>
      </c>
      <c r="F1523" s="1661">
        <v>0</v>
      </c>
      <c r="G1523" s="2789"/>
      <c r="H1523" s="2883"/>
      <c r="I1523" s="1769" t="e">
        <f t="shared" si="316"/>
        <v>#DIV/0!</v>
      </c>
    </row>
    <row r="1524" spans="1:9" ht="17.100000000000001" customHeight="1">
      <c r="A1524" s="1614"/>
      <c r="B1524" s="1627"/>
      <c r="C1524" s="2897" t="s">
        <v>329</v>
      </c>
      <c r="D1524" s="2898" t="s">
        <v>945</v>
      </c>
      <c r="E1524" s="1661">
        <v>2200</v>
      </c>
      <c r="F1524" s="1661">
        <v>0</v>
      </c>
      <c r="G1524" s="2789">
        <v>13850</v>
      </c>
      <c r="H1524" s="2883">
        <v>13690.21</v>
      </c>
      <c r="I1524" s="1769">
        <f t="shared" si="316"/>
        <v>0.98846281588447649</v>
      </c>
    </row>
    <row r="1525" spans="1:9" ht="17.100000000000001" hidden="1" customHeight="1">
      <c r="A1525" s="1614"/>
      <c r="B1525" s="1627"/>
      <c r="C1525" s="2897" t="s">
        <v>316</v>
      </c>
      <c r="D1525" s="2898" t="s">
        <v>773</v>
      </c>
      <c r="E1525" s="1661">
        <v>3700</v>
      </c>
      <c r="F1525" s="1661"/>
      <c r="G1525" s="2789"/>
      <c r="H1525" s="2883"/>
      <c r="I1525" s="1769" t="e">
        <f t="shared" si="316"/>
        <v>#DIV/0!</v>
      </c>
    </row>
    <row r="1526" spans="1:9" ht="17.100000000000001" customHeight="1" thickBot="1">
      <c r="A1526" s="1614"/>
      <c r="B1526" s="1627"/>
      <c r="C1526" s="2897" t="s">
        <v>23</v>
      </c>
      <c r="D1526" s="2898" t="s">
        <v>776</v>
      </c>
      <c r="E1526" s="1661">
        <v>2100</v>
      </c>
      <c r="F1526" s="1661">
        <v>0</v>
      </c>
      <c r="G1526" s="2789">
        <v>138</v>
      </c>
      <c r="H1526" s="2883">
        <v>0</v>
      </c>
      <c r="I1526" s="1769">
        <f t="shared" si="316"/>
        <v>0</v>
      </c>
    </row>
    <row r="1527" spans="1:9" ht="17.100000000000001" hidden="1" customHeight="1">
      <c r="A1527" s="1614"/>
      <c r="B1527" s="1627"/>
      <c r="C1527" s="2897" t="s">
        <v>319</v>
      </c>
      <c r="D1527" s="2898" t="s">
        <v>783</v>
      </c>
      <c r="E1527" s="1661"/>
      <c r="F1527" s="1661"/>
      <c r="G1527" s="2789"/>
      <c r="H1527" s="2883"/>
      <c r="I1527" s="1769" t="e">
        <f t="shared" si="316"/>
        <v>#DIV/0!</v>
      </c>
    </row>
    <row r="1528" spans="1:9" ht="17.100000000000001" hidden="1" customHeight="1" thickBot="1">
      <c r="A1528" s="1614"/>
      <c r="B1528" s="1627"/>
      <c r="C1528" s="2897" t="s">
        <v>334</v>
      </c>
      <c r="D1528" s="2898" t="s">
        <v>787</v>
      </c>
      <c r="E1528" s="1661"/>
      <c r="F1528" s="1661">
        <v>0</v>
      </c>
      <c r="G1528" s="2789"/>
      <c r="H1528" s="2883"/>
      <c r="I1528" s="1725" t="e">
        <f t="shared" si="316"/>
        <v>#DIV/0!</v>
      </c>
    </row>
    <row r="1529" spans="1:9" ht="17.100000000000001" customHeight="1" thickBot="1">
      <c r="A1529" s="1614"/>
      <c r="B1529" s="2691" t="s">
        <v>152</v>
      </c>
      <c r="C1529" s="1727"/>
      <c r="D1529" s="1728" t="s">
        <v>95</v>
      </c>
      <c r="E1529" s="2738">
        <f>E1530+E1560</f>
        <v>10380880</v>
      </c>
      <c r="F1529" s="2738">
        <f>F1530+F1560</f>
        <v>5529870</v>
      </c>
      <c r="G1529" s="2767">
        <f t="shared" ref="G1529:H1529" si="318">G1530+G1560</f>
        <v>4056809</v>
      </c>
      <c r="H1529" s="2720">
        <f t="shared" si="318"/>
        <v>3627087.57</v>
      </c>
      <c r="I1529" s="2702">
        <f t="shared" si="316"/>
        <v>0.8940740296129297</v>
      </c>
    </row>
    <row r="1530" spans="1:9" ht="17.100000000000001" customHeight="1">
      <c r="A1530" s="1614"/>
      <c r="B1530" s="1627"/>
      <c r="C1530" s="4633" t="s">
        <v>760</v>
      </c>
      <c r="D1530" s="4633"/>
      <c r="E1530" s="1615">
        <f>E1531+E1543+E1551+E1556</f>
        <v>10035771</v>
      </c>
      <c r="F1530" s="1615">
        <f t="shared" ref="F1530:H1530" si="319">F1531+F1543+F1551+F1556</f>
        <v>5431659</v>
      </c>
      <c r="G1530" s="1616">
        <f t="shared" si="319"/>
        <v>3952788</v>
      </c>
      <c r="H1530" s="1617">
        <f t="shared" si="319"/>
        <v>3539085.6999999997</v>
      </c>
      <c r="I1530" s="1780">
        <f t="shared" si="316"/>
        <v>0.89533911254537302</v>
      </c>
    </row>
    <row r="1531" spans="1:9" ht="17.100000000000001" customHeight="1">
      <c r="A1531" s="1614"/>
      <c r="B1531" s="1627"/>
      <c r="C1531" s="4826" t="s">
        <v>761</v>
      </c>
      <c r="D1531" s="4826"/>
      <c r="E1531" s="2837">
        <f t="shared" ref="E1531:H1531" si="320">E1532+E1538</f>
        <v>650498</v>
      </c>
      <c r="F1531" s="2837">
        <f t="shared" si="320"/>
        <v>678399</v>
      </c>
      <c r="G1531" s="2855">
        <f t="shared" si="320"/>
        <v>706318</v>
      </c>
      <c r="H1531" s="2838">
        <f t="shared" si="320"/>
        <v>693221.41999999993</v>
      </c>
      <c r="I1531" s="1769">
        <f t="shared" si="316"/>
        <v>0.98145795519864976</v>
      </c>
    </row>
    <row r="1532" spans="1:9" ht="17.100000000000001" customHeight="1">
      <c r="A1532" s="1614"/>
      <c r="B1532" s="1627"/>
      <c r="C1532" s="4824" t="s">
        <v>762</v>
      </c>
      <c r="D1532" s="4824"/>
      <c r="E1532" s="2854">
        <f t="shared" ref="E1532:F1532" si="321">SUM(E1533:E1536)</f>
        <v>3200</v>
      </c>
      <c r="F1532" s="2854">
        <f t="shared" si="321"/>
        <v>3296</v>
      </c>
      <c r="G1532" s="2903">
        <f t="shared" ref="G1532:H1532" si="322">SUM(G1533:G1536)</f>
        <v>3296</v>
      </c>
      <c r="H1532" s="2856">
        <f t="shared" si="322"/>
        <v>820</v>
      </c>
      <c r="I1532" s="1783">
        <f t="shared" si="316"/>
        <v>0.24878640776699029</v>
      </c>
    </row>
    <row r="1533" spans="1:9" ht="17.100000000000001" hidden="1" customHeight="1">
      <c r="A1533" s="1614"/>
      <c r="B1533" s="1627"/>
      <c r="C1533" s="2897" t="s">
        <v>61</v>
      </c>
      <c r="D1533" s="2898" t="s">
        <v>763</v>
      </c>
      <c r="E1533" s="2837"/>
      <c r="F1533" s="2837">
        <v>0</v>
      </c>
      <c r="G1533" s="2789"/>
      <c r="H1533" s="2838"/>
      <c r="I1533" s="1769" t="e">
        <f t="shared" si="316"/>
        <v>#DIV/0!</v>
      </c>
    </row>
    <row r="1534" spans="1:9" ht="17.100000000000001" hidden="1" customHeight="1">
      <c r="A1534" s="1614"/>
      <c r="B1534" s="1627"/>
      <c r="C1534" s="2897" t="s">
        <v>62</v>
      </c>
      <c r="D1534" s="2898" t="s">
        <v>765</v>
      </c>
      <c r="E1534" s="2837"/>
      <c r="F1534" s="2837">
        <v>0</v>
      </c>
      <c r="G1534" s="2789"/>
      <c r="H1534" s="2838"/>
      <c r="I1534" s="1769" t="e">
        <f t="shared" si="316"/>
        <v>#DIV/0!</v>
      </c>
    </row>
    <row r="1535" spans="1:9" ht="17.100000000000001" hidden="1" customHeight="1">
      <c r="A1535" s="1614"/>
      <c r="B1535" s="1627"/>
      <c r="C1535" s="2897" t="s">
        <v>63</v>
      </c>
      <c r="D1535" s="2898" t="s">
        <v>798</v>
      </c>
      <c r="E1535" s="2837"/>
      <c r="F1535" s="2837">
        <v>0</v>
      </c>
      <c r="G1535" s="2789"/>
      <c r="H1535" s="2838"/>
      <c r="I1535" s="1769" t="e">
        <f t="shared" si="316"/>
        <v>#DIV/0!</v>
      </c>
    </row>
    <row r="1536" spans="1:9" ht="17.100000000000001" customHeight="1">
      <c r="A1536" s="1614"/>
      <c r="B1536" s="1627"/>
      <c r="C1536" s="2897" t="s">
        <v>324</v>
      </c>
      <c r="D1536" s="2898" t="s">
        <v>767</v>
      </c>
      <c r="E1536" s="2837">
        <v>3200</v>
      </c>
      <c r="F1536" s="2837">
        <v>3296</v>
      </c>
      <c r="G1536" s="2789">
        <v>3296</v>
      </c>
      <c r="H1536" s="2838">
        <v>820</v>
      </c>
      <c r="I1536" s="1769">
        <f t="shared" si="316"/>
        <v>0.24878640776699029</v>
      </c>
    </row>
    <row r="1537" spans="1:9" ht="17.100000000000001" customHeight="1" thickBot="1">
      <c r="A1537" s="1644"/>
      <c r="B1537" s="1645"/>
      <c r="C1537" s="1887"/>
      <c r="D1537" s="1887"/>
      <c r="E1537" s="2271"/>
      <c r="F1537" s="2271"/>
      <c r="G1537" s="2853"/>
      <c r="H1537" s="1747"/>
      <c r="I1537" s="1651"/>
    </row>
    <row r="1538" spans="1:9" ht="17.100000000000001" customHeight="1">
      <c r="A1538" s="1614"/>
      <c r="B1538" s="1627"/>
      <c r="C1538" s="4634" t="s">
        <v>769</v>
      </c>
      <c r="D1538" s="4634"/>
      <c r="E1538" s="2904">
        <f t="shared" ref="E1538:H1538" si="323">SUM(E1539:E1541)</f>
        <v>647298</v>
      </c>
      <c r="F1538" s="2904">
        <f t="shared" si="323"/>
        <v>675103</v>
      </c>
      <c r="G1538" s="2905">
        <f t="shared" si="323"/>
        <v>703022</v>
      </c>
      <c r="H1538" s="2906">
        <f t="shared" si="323"/>
        <v>692401.41999999993</v>
      </c>
      <c r="I1538" s="1783">
        <f t="shared" si="316"/>
        <v>0.98489296209791433</v>
      </c>
    </row>
    <row r="1539" spans="1:9" ht="17.100000000000001" customHeight="1">
      <c r="A1539" s="1614"/>
      <c r="B1539" s="1627"/>
      <c r="C1539" s="2907" t="s">
        <v>22</v>
      </c>
      <c r="D1539" s="2908" t="s">
        <v>771</v>
      </c>
      <c r="E1539" s="2909">
        <v>3000</v>
      </c>
      <c r="F1539" s="2909">
        <v>2000</v>
      </c>
      <c r="G1539" s="2789">
        <v>2000</v>
      </c>
      <c r="H1539" s="2910">
        <v>1620</v>
      </c>
      <c r="I1539" s="1769">
        <f t="shared" si="316"/>
        <v>0.81</v>
      </c>
    </row>
    <row r="1540" spans="1:9" ht="17.100000000000001" customHeight="1">
      <c r="A1540" s="1614"/>
      <c r="B1540" s="1627"/>
      <c r="C1540" s="2907" t="s">
        <v>23</v>
      </c>
      <c r="D1540" s="2908" t="s">
        <v>776</v>
      </c>
      <c r="E1540" s="2909">
        <v>27150</v>
      </c>
      <c r="F1540" s="2909">
        <v>26000</v>
      </c>
      <c r="G1540" s="2789">
        <v>26000</v>
      </c>
      <c r="H1540" s="2910">
        <v>16132.08</v>
      </c>
      <c r="I1540" s="1769">
        <f t="shared" si="316"/>
        <v>0.62046461538461539</v>
      </c>
    </row>
    <row r="1541" spans="1:9" ht="17.100000000000001" customHeight="1">
      <c r="A1541" s="1614"/>
      <c r="B1541" s="1627"/>
      <c r="C1541" s="2907" t="s">
        <v>319</v>
      </c>
      <c r="D1541" s="2908" t="s">
        <v>783</v>
      </c>
      <c r="E1541" s="2909">
        <v>617148</v>
      </c>
      <c r="F1541" s="2909">
        <v>647103</v>
      </c>
      <c r="G1541" s="2789">
        <v>675022</v>
      </c>
      <c r="H1541" s="2910">
        <v>674649.34</v>
      </c>
      <c r="I1541" s="1769">
        <f t="shared" si="316"/>
        <v>0.99944792910453284</v>
      </c>
    </row>
    <row r="1542" spans="1:9" ht="17.100000000000001" customHeight="1">
      <c r="A1542" s="1614"/>
      <c r="B1542" s="1627"/>
      <c r="C1542" s="1688"/>
      <c r="D1542" s="1688"/>
      <c r="E1542" s="1638"/>
      <c r="F1542" s="1638"/>
      <c r="G1542" s="2789"/>
      <c r="H1542" s="2910"/>
      <c r="I1542" s="1769"/>
    </row>
    <row r="1543" spans="1:9" ht="17.100000000000001" customHeight="1">
      <c r="A1543" s="1614"/>
      <c r="B1543" s="1627"/>
      <c r="C1543" s="4819" t="s">
        <v>838</v>
      </c>
      <c r="D1543" s="4819"/>
      <c r="E1543" s="2909">
        <f>SUM(E1544:E1549)</f>
        <v>8849239</v>
      </c>
      <c r="F1543" s="2909">
        <f>SUM(F1544:F1549)</f>
        <v>4226255</v>
      </c>
      <c r="G1543" s="2911">
        <f t="shared" ref="G1543:H1543" si="324">SUM(G1544:G1549)</f>
        <v>2699065</v>
      </c>
      <c r="H1543" s="2910">
        <f t="shared" si="324"/>
        <v>2304144.2799999998</v>
      </c>
      <c r="I1543" s="1769">
        <f t="shared" si="316"/>
        <v>0.85368239742281116</v>
      </c>
    </row>
    <row r="1544" spans="1:9" ht="67.5" customHeight="1">
      <c r="A1544" s="1638"/>
      <c r="B1544" s="1638"/>
      <c r="C1544" s="2912" t="s">
        <v>689</v>
      </c>
      <c r="D1544" s="2913" t="s">
        <v>856</v>
      </c>
      <c r="E1544" s="2909">
        <v>3748647</v>
      </c>
      <c r="F1544" s="2909">
        <v>3166481</v>
      </c>
      <c r="G1544" s="2789">
        <v>1881510</v>
      </c>
      <c r="H1544" s="2910">
        <v>1520434.99</v>
      </c>
      <c r="I1544" s="1769">
        <f t="shared" si="316"/>
        <v>0.80809296256729968</v>
      </c>
    </row>
    <row r="1545" spans="1:9" ht="66.75" customHeight="1">
      <c r="A1545" s="1638"/>
      <c r="B1545" s="1638"/>
      <c r="C1545" s="2914" t="s">
        <v>528</v>
      </c>
      <c r="D1545" s="2915" t="s">
        <v>805</v>
      </c>
      <c r="E1545" s="2909">
        <v>4177383</v>
      </c>
      <c r="F1545" s="2909">
        <v>1059774</v>
      </c>
      <c r="G1545" s="2789">
        <v>698157</v>
      </c>
      <c r="H1545" s="2910">
        <v>664319.43999999994</v>
      </c>
      <c r="I1545" s="2813">
        <f>H1545/G1545</f>
        <v>0.95153302194205591</v>
      </c>
    </row>
    <row r="1546" spans="1:9" ht="60" hidden="1" customHeight="1">
      <c r="A1546" s="1638"/>
      <c r="B1546" s="1638"/>
      <c r="C1546" s="2916" t="s">
        <v>44</v>
      </c>
      <c r="D1546" s="2185" t="s">
        <v>850</v>
      </c>
      <c r="E1546" s="1668"/>
      <c r="F1546" s="1668">
        <v>0</v>
      </c>
      <c r="G1546" s="1662">
        <v>0</v>
      </c>
      <c r="H1546" s="1663">
        <v>0</v>
      </c>
      <c r="I1546" s="1769" t="e">
        <f>H1546/G1546</f>
        <v>#DIV/0!</v>
      </c>
    </row>
    <row r="1547" spans="1:9" ht="42" hidden="1" customHeight="1">
      <c r="A1547" s="1638"/>
      <c r="B1547" s="1638"/>
      <c r="C1547" s="2914" t="s">
        <v>86</v>
      </c>
      <c r="D1547" s="2815" t="s">
        <v>941</v>
      </c>
      <c r="E1547" s="2917">
        <v>26000</v>
      </c>
      <c r="F1547" s="2917">
        <v>0</v>
      </c>
      <c r="G1547" s="2789">
        <v>0</v>
      </c>
      <c r="H1547" s="2910">
        <v>0</v>
      </c>
      <c r="I1547" s="1769" t="e">
        <f t="shared" si="316"/>
        <v>#DIV/0!</v>
      </c>
    </row>
    <row r="1548" spans="1:9" ht="54" customHeight="1">
      <c r="A1548" s="1638"/>
      <c r="B1548" s="1638"/>
      <c r="C1548" s="2914" t="s">
        <v>634</v>
      </c>
      <c r="D1548" s="2918" t="s">
        <v>857</v>
      </c>
      <c r="E1548" s="2917">
        <v>3724</v>
      </c>
      <c r="F1548" s="2917">
        <v>0</v>
      </c>
      <c r="G1548" s="2789">
        <v>5717</v>
      </c>
      <c r="H1548" s="2910">
        <v>5715.45</v>
      </c>
      <c r="I1548" s="1769">
        <f t="shared" si="316"/>
        <v>0.99972887878257821</v>
      </c>
    </row>
    <row r="1549" spans="1:9" ht="15" customHeight="1">
      <c r="A1549" s="1614"/>
      <c r="B1549" s="1627"/>
      <c r="C1549" s="2916" t="s">
        <v>635</v>
      </c>
      <c r="D1549" s="2919" t="s">
        <v>858</v>
      </c>
      <c r="E1549" s="2917">
        <v>893485</v>
      </c>
      <c r="F1549" s="2917">
        <v>0</v>
      </c>
      <c r="G1549" s="2789">
        <v>113681</v>
      </c>
      <c r="H1549" s="2910">
        <v>113674.4</v>
      </c>
      <c r="I1549" s="1769">
        <f t="shared" si="316"/>
        <v>0.99994194280486615</v>
      </c>
    </row>
    <row r="1550" spans="1:9" ht="17.100000000000001" customHeight="1">
      <c r="A1550" s="1614"/>
      <c r="B1550" s="1627"/>
      <c r="C1550" s="2920"/>
      <c r="D1550" s="2787"/>
      <c r="E1550" s="2921"/>
      <c r="F1550" s="2921"/>
      <c r="G1550" s="2789"/>
      <c r="H1550" s="2910"/>
      <c r="I1550" s="1769"/>
    </row>
    <row r="1551" spans="1:9" ht="17.100000000000001" customHeight="1">
      <c r="A1551" s="1614"/>
      <c r="B1551" s="1627"/>
      <c r="C1551" s="4644" t="s">
        <v>998</v>
      </c>
      <c r="D1551" s="4644"/>
      <c r="E1551" s="1661">
        <f t="shared" ref="E1551:H1551" si="325">SUM(E1552:E1554)</f>
        <v>475030</v>
      </c>
      <c r="F1551" s="1661">
        <f t="shared" si="325"/>
        <v>527005</v>
      </c>
      <c r="G1551" s="1760">
        <f t="shared" si="325"/>
        <v>547405</v>
      </c>
      <c r="H1551" s="1663">
        <f t="shared" si="325"/>
        <v>541720</v>
      </c>
      <c r="I1551" s="1769">
        <f t="shared" si="316"/>
        <v>0.98961463632959146</v>
      </c>
    </row>
    <row r="1552" spans="1:9" ht="17.100000000000001" customHeight="1">
      <c r="A1552" s="1614"/>
      <c r="B1552" s="1627"/>
      <c r="C1552" s="2922" t="s">
        <v>314</v>
      </c>
      <c r="D1552" s="2923" t="s">
        <v>792</v>
      </c>
      <c r="E1552" s="2909">
        <v>45030</v>
      </c>
      <c r="F1552" s="2909">
        <v>47005</v>
      </c>
      <c r="G1552" s="2789">
        <v>47005</v>
      </c>
      <c r="H1552" s="2910">
        <v>46970</v>
      </c>
      <c r="I1552" s="1769">
        <f t="shared" si="316"/>
        <v>0.99925539836187638</v>
      </c>
    </row>
    <row r="1553" spans="1:9" ht="17.100000000000001" customHeight="1">
      <c r="A1553" s="1614"/>
      <c r="B1553" s="1627"/>
      <c r="C1553" s="2922" t="s">
        <v>1084</v>
      </c>
      <c r="D1553" s="2923" t="s">
        <v>1085</v>
      </c>
      <c r="E1553" s="2909">
        <v>100000</v>
      </c>
      <c r="F1553" s="2909">
        <v>150000</v>
      </c>
      <c r="G1553" s="2789">
        <v>150000</v>
      </c>
      <c r="H1553" s="2910">
        <v>144350</v>
      </c>
      <c r="I1553" s="1769">
        <f t="shared" si="316"/>
        <v>0.96233333333333337</v>
      </c>
    </row>
    <row r="1554" spans="1:9" ht="17.100000000000001" customHeight="1">
      <c r="A1554" s="1614"/>
      <c r="B1554" s="1627"/>
      <c r="C1554" s="2922" t="s">
        <v>1066</v>
      </c>
      <c r="D1554" s="2923" t="s">
        <v>1067</v>
      </c>
      <c r="E1554" s="2909">
        <v>330000</v>
      </c>
      <c r="F1554" s="2909">
        <v>330000</v>
      </c>
      <c r="G1554" s="2789">
        <v>350400</v>
      </c>
      <c r="H1554" s="2910">
        <v>350400</v>
      </c>
      <c r="I1554" s="1769">
        <f t="shared" si="316"/>
        <v>1</v>
      </c>
    </row>
    <row r="1555" spans="1:9" ht="17.100000000000001" customHeight="1">
      <c r="A1555" s="1614"/>
      <c r="B1555" s="1627"/>
      <c r="C1555" s="2000"/>
      <c r="D1555" s="2122"/>
      <c r="E1555" s="1668"/>
      <c r="F1555" s="1668"/>
      <c r="G1555" s="2789"/>
      <c r="H1555" s="2910"/>
      <c r="I1555" s="1769"/>
    </row>
    <row r="1556" spans="1:9" ht="17.100000000000001" hidden="1" customHeight="1">
      <c r="A1556" s="1614"/>
      <c r="B1556" s="1627"/>
      <c r="C1556" s="4820" t="s">
        <v>803</v>
      </c>
      <c r="D1556" s="4806"/>
      <c r="E1556" s="2909">
        <f>E1557+E1558</f>
        <v>61004</v>
      </c>
      <c r="F1556" s="2909">
        <f>F1557+F1558</f>
        <v>0</v>
      </c>
      <c r="G1556" s="2789"/>
      <c r="H1556" s="2910"/>
      <c r="I1556" s="1769" t="e">
        <f t="shared" si="316"/>
        <v>#DIV/0!</v>
      </c>
    </row>
    <row r="1557" spans="1:9" ht="54" hidden="1" customHeight="1">
      <c r="A1557" s="1614"/>
      <c r="B1557" s="1627"/>
      <c r="C1557" s="2914" t="s">
        <v>1086</v>
      </c>
      <c r="D1557" s="2924" t="s">
        <v>856</v>
      </c>
      <c r="E1557" s="2909"/>
      <c r="F1557" s="2909">
        <v>0</v>
      </c>
      <c r="G1557" s="2789"/>
      <c r="H1557" s="2910"/>
      <c r="I1557" s="1769" t="e">
        <f t="shared" si="316"/>
        <v>#DIV/0!</v>
      </c>
    </row>
    <row r="1558" spans="1:9" ht="15" hidden="1" customHeight="1">
      <c r="A1558" s="1614"/>
      <c r="B1558" s="1627"/>
      <c r="C1558" s="2914" t="s">
        <v>1087</v>
      </c>
      <c r="D1558" s="2924" t="s">
        <v>994</v>
      </c>
      <c r="E1558" s="2909">
        <v>61004</v>
      </c>
      <c r="F1558" s="2909">
        <v>0</v>
      </c>
      <c r="G1558" s="2789"/>
      <c r="H1558" s="2910"/>
      <c r="I1558" s="1769" t="e">
        <f t="shared" si="316"/>
        <v>#DIV/0!</v>
      </c>
    </row>
    <row r="1559" spans="1:9" ht="17.100000000000001" hidden="1" customHeight="1">
      <c r="A1559" s="1614"/>
      <c r="B1559" s="1627"/>
      <c r="C1559" s="1688"/>
      <c r="D1559" s="1688"/>
      <c r="E1559" s="1638"/>
      <c r="F1559" s="1638"/>
      <c r="G1559" s="2789"/>
      <c r="H1559" s="2910"/>
      <c r="I1559" s="1769" t="e">
        <f t="shared" si="316"/>
        <v>#DIV/0!</v>
      </c>
    </row>
    <row r="1560" spans="1:9" ht="17.100000000000001" customHeight="1">
      <c r="A1560" s="1614"/>
      <c r="B1560" s="1627"/>
      <c r="C1560" s="4821" t="s">
        <v>793</v>
      </c>
      <c r="D1560" s="4821"/>
      <c r="E1560" s="2925">
        <f>E1561</f>
        <v>345109</v>
      </c>
      <c r="F1560" s="2925">
        <f t="shared" ref="F1560:H1560" si="326">F1561</f>
        <v>98211</v>
      </c>
      <c r="G1560" s="2926">
        <f t="shared" si="326"/>
        <v>104021</v>
      </c>
      <c r="H1560" s="2927">
        <f t="shared" si="326"/>
        <v>88001.87</v>
      </c>
      <c r="I1560" s="1780">
        <f t="shared" si="316"/>
        <v>0.8460009997981176</v>
      </c>
    </row>
    <row r="1561" spans="1:9">
      <c r="A1561" s="1614"/>
      <c r="B1561" s="1627"/>
      <c r="C1561" s="4811" t="s">
        <v>794</v>
      </c>
      <c r="D1561" s="4811"/>
      <c r="E1561" s="2909">
        <f>SUM(E1562:E1566)</f>
        <v>345109</v>
      </c>
      <c r="F1561" s="2909">
        <f t="shared" ref="F1561" si="327">SUM(F1562:F1566)</f>
        <v>98211</v>
      </c>
      <c r="G1561" s="2911">
        <f>SUM(G1562:G1566)</f>
        <v>104021</v>
      </c>
      <c r="H1561" s="2910">
        <f>SUM(H1562:H1566)</f>
        <v>88001.87</v>
      </c>
      <c r="I1561" s="1769">
        <f t="shared" si="316"/>
        <v>0.8460009997981176</v>
      </c>
    </row>
    <row r="1562" spans="1:9" ht="58.5" customHeight="1" thickBot="1">
      <c r="A1562" s="2271"/>
      <c r="B1562" s="2271"/>
      <c r="C1562" s="2928" t="s">
        <v>872</v>
      </c>
      <c r="D1562" s="2929" t="s">
        <v>877</v>
      </c>
      <c r="E1562" s="1678">
        <v>93133</v>
      </c>
      <c r="F1562" s="1678">
        <v>47494</v>
      </c>
      <c r="G1562" s="2853">
        <v>28678</v>
      </c>
      <c r="H1562" s="1747">
        <v>24661.8</v>
      </c>
      <c r="I1562" s="1651">
        <f t="shared" si="316"/>
        <v>0.85995536648301829</v>
      </c>
    </row>
    <row r="1563" spans="1:9" ht="65.25" customHeight="1">
      <c r="A1563" s="1638"/>
      <c r="B1563" s="1638"/>
      <c r="C1563" s="1659" t="s">
        <v>873</v>
      </c>
      <c r="D1563" s="2930" t="s">
        <v>874</v>
      </c>
      <c r="E1563" s="2520">
        <v>67085</v>
      </c>
      <c r="F1563" s="2520">
        <v>50717</v>
      </c>
      <c r="G1563" s="1881">
        <v>27722</v>
      </c>
      <c r="H1563" s="2931">
        <v>27720.12</v>
      </c>
      <c r="I1563" s="1769">
        <f t="shared" si="316"/>
        <v>0.99993218382512083</v>
      </c>
    </row>
    <row r="1564" spans="1:9" ht="43.5" customHeight="1">
      <c r="A1564" s="1614"/>
      <c r="B1564" s="1627"/>
      <c r="C1564" s="2907" t="s">
        <v>88</v>
      </c>
      <c r="D1564" s="2932" t="s">
        <v>909</v>
      </c>
      <c r="E1564" s="2933">
        <v>67085</v>
      </c>
      <c r="F1564" s="2933">
        <v>0</v>
      </c>
      <c r="G1564" s="2789">
        <v>45743</v>
      </c>
      <c r="H1564" s="2910">
        <v>33743</v>
      </c>
      <c r="I1564" s="1769">
        <f t="shared" si="316"/>
        <v>0.73766477931049557</v>
      </c>
    </row>
    <row r="1565" spans="1:9" ht="30.75" customHeight="1" thickBot="1">
      <c r="A1565" s="1614"/>
      <c r="B1565" s="1627"/>
      <c r="C1565" s="2907" t="s">
        <v>636</v>
      </c>
      <c r="D1565" s="2934" t="s">
        <v>967</v>
      </c>
      <c r="E1565" s="2933">
        <v>67085</v>
      </c>
      <c r="F1565" s="2933">
        <v>0</v>
      </c>
      <c r="G1565" s="2789">
        <v>1878</v>
      </c>
      <c r="H1565" s="2910">
        <v>1876.95</v>
      </c>
      <c r="I1565" s="1769">
        <f t="shared" si="316"/>
        <v>0.99944089456869012</v>
      </c>
    </row>
    <row r="1566" spans="1:9" ht="28.5" hidden="1" customHeight="1" thickBot="1">
      <c r="A1566" s="1614"/>
      <c r="B1566" s="1627"/>
      <c r="C1566" s="1695" t="s">
        <v>636</v>
      </c>
      <c r="D1566" s="2163" t="s">
        <v>967</v>
      </c>
      <c r="E1566" s="1668">
        <v>50721</v>
      </c>
      <c r="F1566" s="1668">
        <v>0</v>
      </c>
      <c r="G1566" s="2789"/>
      <c r="H1566" s="2910"/>
      <c r="I1566" s="1769" t="e">
        <f t="shared" si="316"/>
        <v>#DIV/0!</v>
      </c>
    </row>
    <row r="1567" spans="1:9" ht="17.100000000000001" hidden="1" customHeight="1" thickBot="1">
      <c r="A1567" s="2708" t="s">
        <v>1088</v>
      </c>
      <c r="B1567" s="2935"/>
      <c r="C1567" s="1821"/>
      <c r="D1567" s="1822" t="s">
        <v>1089</v>
      </c>
      <c r="E1567" s="2936">
        <f>SUM(E1568,E1580)</f>
        <v>0</v>
      </c>
      <c r="F1567" s="2936">
        <f t="shared" ref="F1567" si="328">SUM(F1568,F1580)</f>
        <v>0</v>
      </c>
      <c r="G1567" s="2789"/>
      <c r="H1567" s="2910"/>
      <c r="I1567" s="1769" t="e">
        <f t="shared" si="316"/>
        <v>#DIV/0!</v>
      </c>
    </row>
    <row r="1568" spans="1:9" ht="17.100000000000001" hidden="1" customHeight="1" thickBot="1">
      <c r="A1568" s="1614"/>
      <c r="B1568" s="2691" t="s">
        <v>1090</v>
      </c>
      <c r="C1568" s="1727"/>
      <c r="D1568" s="1728" t="s">
        <v>506</v>
      </c>
      <c r="E1568" s="2738">
        <f t="shared" ref="E1568:F1568" si="329">E1569</f>
        <v>0</v>
      </c>
      <c r="F1568" s="2738">
        <f t="shared" si="329"/>
        <v>0</v>
      </c>
      <c r="G1568" s="2789"/>
      <c r="H1568" s="2910"/>
      <c r="I1568" s="1769" t="e">
        <f t="shared" si="316"/>
        <v>#DIV/0!</v>
      </c>
    </row>
    <row r="1569" spans="1:9" ht="17.100000000000001" hidden="1" customHeight="1">
      <c r="A1569" s="1614"/>
      <c r="B1569" s="4822"/>
      <c r="C1569" s="4823" t="s">
        <v>760</v>
      </c>
      <c r="D1569" s="4823"/>
      <c r="E1569" s="1734">
        <f>E1570+E1575+E1578</f>
        <v>0</v>
      </c>
      <c r="F1569" s="1734">
        <f t="shared" ref="F1569" si="330">F1570+F1575+F1578</f>
        <v>0</v>
      </c>
      <c r="G1569" s="2789"/>
      <c r="H1569" s="2910"/>
      <c r="I1569" s="1769" t="e">
        <f t="shared" si="316"/>
        <v>#DIV/0!</v>
      </c>
    </row>
    <row r="1570" spans="1:9" ht="17.100000000000001" hidden="1" customHeight="1">
      <c r="A1570" s="1614"/>
      <c r="B1570" s="4687"/>
      <c r="C1570" s="4808" t="s">
        <v>761</v>
      </c>
      <c r="D1570" s="4808"/>
      <c r="E1570" s="2909">
        <f t="shared" ref="E1570:F1570" si="331">SUM(E1571)</f>
        <v>0</v>
      </c>
      <c r="F1570" s="2909">
        <f t="shared" si="331"/>
        <v>0</v>
      </c>
      <c r="G1570" s="2789"/>
      <c r="H1570" s="2910"/>
      <c r="I1570" s="1769" t="e">
        <f t="shared" si="316"/>
        <v>#DIV/0!</v>
      </c>
    </row>
    <row r="1571" spans="1:9" ht="17.100000000000001" hidden="1" customHeight="1">
      <c r="A1571" s="1614"/>
      <c r="B1571" s="4687"/>
      <c r="C1571" s="4816" t="s">
        <v>769</v>
      </c>
      <c r="D1571" s="4816"/>
      <c r="E1571" s="2937">
        <f>SUM(E1572:E1573)</f>
        <v>0</v>
      </c>
      <c r="F1571" s="2937">
        <f t="shared" ref="F1571" si="332">SUM(F1572:F1573)</f>
        <v>0</v>
      </c>
      <c r="G1571" s="2789"/>
      <c r="H1571" s="2910"/>
      <c r="I1571" s="1769" t="e">
        <f t="shared" si="316"/>
        <v>#DIV/0!</v>
      </c>
    </row>
    <row r="1572" spans="1:9" ht="17.100000000000001" hidden="1" customHeight="1">
      <c r="A1572" s="1614"/>
      <c r="B1572" s="4687"/>
      <c r="C1572" s="2938" t="s">
        <v>23</v>
      </c>
      <c r="D1572" s="2908" t="s">
        <v>776</v>
      </c>
      <c r="E1572" s="2909"/>
      <c r="F1572" s="2909"/>
      <c r="G1572" s="2789"/>
      <c r="H1572" s="2910"/>
      <c r="I1572" s="1769" t="e">
        <f t="shared" si="316"/>
        <v>#DIV/0!</v>
      </c>
    </row>
    <row r="1573" spans="1:9" ht="17.100000000000001" hidden="1" customHeight="1">
      <c r="A1573" s="1614"/>
      <c r="B1573" s="4687"/>
      <c r="C1573" s="2938" t="s">
        <v>848</v>
      </c>
      <c r="D1573" s="2908" t="s">
        <v>849</v>
      </c>
      <c r="E1573" s="2909"/>
      <c r="F1573" s="2909"/>
      <c r="G1573" s="2789"/>
      <c r="H1573" s="2910"/>
      <c r="I1573" s="1769" t="e">
        <f t="shared" si="316"/>
        <v>#DIV/0!</v>
      </c>
    </row>
    <row r="1574" spans="1:9" ht="17.100000000000001" hidden="1" customHeight="1">
      <c r="A1574" s="1614"/>
      <c r="B1574" s="4687"/>
      <c r="C1574" s="2938"/>
      <c r="D1574" s="2939"/>
      <c r="E1574" s="2909"/>
      <c r="F1574" s="2909"/>
      <c r="G1574" s="2789"/>
      <c r="H1574" s="2910"/>
      <c r="I1574" s="1769" t="e">
        <f t="shared" si="316"/>
        <v>#DIV/0!</v>
      </c>
    </row>
    <row r="1575" spans="1:9" ht="17.100000000000001" hidden="1" customHeight="1">
      <c r="A1575" s="1614"/>
      <c r="B1575" s="4687"/>
      <c r="C1575" s="4807" t="s">
        <v>803</v>
      </c>
      <c r="D1575" s="4807"/>
      <c r="E1575" s="2909">
        <f>E1576</f>
        <v>0</v>
      </c>
      <c r="F1575" s="2909">
        <f t="shared" ref="F1575" si="333">F1576</f>
        <v>0</v>
      </c>
      <c r="G1575" s="2789"/>
      <c r="H1575" s="2910"/>
      <c r="I1575" s="1769" t="e">
        <f t="shared" si="316"/>
        <v>#DIV/0!</v>
      </c>
    </row>
    <row r="1576" spans="1:9" ht="17.100000000000001" hidden="1" customHeight="1">
      <c r="A1576" s="1614"/>
      <c r="B1576" s="4687"/>
      <c r="C1576" s="2907" t="s">
        <v>1091</v>
      </c>
      <c r="D1576" s="2908" t="s">
        <v>1092</v>
      </c>
      <c r="E1576" s="2909"/>
      <c r="F1576" s="2909">
        <v>0</v>
      </c>
      <c r="G1576" s="2789"/>
      <c r="H1576" s="2910"/>
      <c r="I1576" s="1769" t="e">
        <f t="shared" si="316"/>
        <v>#DIV/0!</v>
      </c>
    </row>
    <row r="1577" spans="1:9" ht="17.100000000000001" hidden="1" customHeight="1">
      <c r="A1577" s="1614"/>
      <c r="B1577" s="4687"/>
      <c r="C1577" s="2938"/>
      <c r="D1577" s="2939"/>
      <c r="E1577" s="2909"/>
      <c r="F1577" s="2909"/>
      <c r="G1577" s="2789"/>
      <c r="H1577" s="2910"/>
      <c r="I1577" s="1769" t="e">
        <f t="shared" si="316"/>
        <v>#DIV/0!</v>
      </c>
    </row>
    <row r="1578" spans="1:9" ht="17.100000000000001" hidden="1" customHeight="1">
      <c r="A1578" s="1614"/>
      <c r="B1578" s="4687"/>
      <c r="C1578" s="4811" t="s">
        <v>998</v>
      </c>
      <c r="D1578" s="4811"/>
      <c r="E1578" s="2909">
        <f t="shared" ref="E1578:F1578" si="334">E1579</f>
        <v>0</v>
      </c>
      <c r="F1578" s="2909">
        <f t="shared" si="334"/>
        <v>0</v>
      </c>
      <c r="G1578" s="2789"/>
      <c r="H1578" s="2910"/>
      <c r="I1578" s="1769" t="e">
        <f t="shared" si="316"/>
        <v>#DIV/0!</v>
      </c>
    </row>
    <row r="1579" spans="1:9" ht="17.100000000000001" hidden="1" customHeight="1" thickBot="1">
      <c r="A1579" s="1614"/>
      <c r="B1579" s="4645"/>
      <c r="C1579" s="2940" t="s">
        <v>955</v>
      </c>
      <c r="D1579" s="2941" t="s">
        <v>956</v>
      </c>
      <c r="E1579" s="1678"/>
      <c r="F1579" s="1678"/>
      <c r="G1579" s="2789"/>
      <c r="H1579" s="2910"/>
      <c r="I1579" s="1769" t="e">
        <f t="shared" si="316"/>
        <v>#DIV/0!</v>
      </c>
    </row>
    <row r="1580" spans="1:9" ht="12" hidden="1" customHeight="1" thickBot="1">
      <c r="A1580" s="1614"/>
      <c r="B1580" s="2691" t="s">
        <v>1093</v>
      </c>
      <c r="C1580" s="1727"/>
      <c r="D1580" s="1728" t="s">
        <v>95</v>
      </c>
      <c r="E1580" s="2738">
        <f>E1581+E1590</f>
        <v>0</v>
      </c>
      <c r="F1580" s="2738">
        <f>F1581+F1590</f>
        <v>0</v>
      </c>
      <c r="G1580" s="2789"/>
      <c r="H1580" s="2910"/>
      <c r="I1580" s="1769" t="e">
        <f t="shared" si="316"/>
        <v>#DIV/0!</v>
      </c>
    </row>
    <row r="1581" spans="1:9" ht="13.5" hidden="1" thickBot="1">
      <c r="A1581" s="1614"/>
      <c r="B1581" s="4687"/>
      <c r="C1581" s="4633" t="s">
        <v>760</v>
      </c>
      <c r="D1581" s="4633"/>
      <c r="E1581" s="1615">
        <f>E1582+E1586</f>
        <v>0</v>
      </c>
      <c r="F1581" s="1615">
        <f t="shared" ref="F1581" si="335">F1582+F1586</f>
        <v>0</v>
      </c>
      <c r="G1581" s="2789"/>
      <c r="H1581" s="2910"/>
      <c r="I1581" s="1769" t="e">
        <f t="shared" si="316"/>
        <v>#DIV/0!</v>
      </c>
    </row>
    <row r="1582" spans="1:9" ht="13.5" hidden="1" thickBot="1">
      <c r="A1582" s="1614"/>
      <c r="B1582" s="4687"/>
      <c r="C1582" s="4808" t="s">
        <v>761</v>
      </c>
      <c r="D1582" s="4808"/>
      <c r="E1582" s="2909">
        <f t="shared" ref="E1582:F1583" si="336">E1583</f>
        <v>0</v>
      </c>
      <c r="F1582" s="2909">
        <f t="shared" si="336"/>
        <v>0</v>
      </c>
      <c r="G1582" s="2789"/>
      <c r="H1582" s="2910"/>
      <c r="I1582" s="1769" t="e">
        <f t="shared" si="316"/>
        <v>#DIV/0!</v>
      </c>
    </row>
    <row r="1583" spans="1:9" ht="13.5" hidden="1" thickBot="1">
      <c r="A1583" s="1614"/>
      <c r="B1583" s="4687"/>
      <c r="C1583" s="4816" t="s">
        <v>769</v>
      </c>
      <c r="D1583" s="4816"/>
      <c r="E1583" s="2937">
        <f t="shared" si="336"/>
        <v>0</v>
      </c>
      <c r="F1583" s="2937">
        <f t="shared" si="336"/>
        <v>0</v>
      </c>
      <c r="G1583" s="2789"/>
      <c r="H1583" s="2910"/>
      <c r="I1583" s="1769" t="e">
        <f t="shared" si="316"/>
        <v>#DIV/0!</v>
      </c>
    </row>
    <row r="1584" spans="1:9" ht="13.5" hidden="1" thickBot="1">
      <c r="A1584" s="1614"/>
      <c r="B1584" s="4687"/>
      <c r="C1584" s="2942" t="s">
        <v>23</v>
      </c>
      <c r="D1584" s="2943" t="s">
        <v>776</v>
      </c>
      <c r="E1584" s="2944">
        <v>0</v>
      </c>
      <c r="F1584" s="2944">
        <v>0</v>
      </c>
      <c r="G1584" s="2945"/>
      <c r="H1584" s="2910"/>
      <c r="I1584" s="1769" t="e">
        <f t="shared" si="316"/>
        <v>#DIV/0!</v>
      </c>
    </row>
    <row r="1585" spans="1:9" ht="13.5" hidden="1" thickBot="1">
      <c r="A1585" s="1614"/>
      <c r="B1585" s="1684"/>
      <c r="C1585" s="4817"/>
      <c r="D1585" s="4818"/>
      <c r="E1585" s="2944"/>
      <c r="F1585" s="2944"/>
      <c r="G1585" s="2945"/>
      <c r="H1585" s="2910"/>
      <c r="I1585" s="1769" t="e">
        <f t="shared" ref="I1585:I1651" si="337">H1585/G1585</f>
        <v>#DIV/0!</v>
      </c>
    </row>
    <row r="1586" spans="1:9" ht="13.5" hidden="1" thickBot="1">
      <c r="A1586" s="1614"/>
      <c r="B1586" s="1684"/>
      <c r="C1586" s="4807" t="s">
        <v>1094</v>
      </c>
      <c r="D1586" s="4808"/>
      <c r="E1586" s="2909">
        <f>E1587+E1588</f>
        <v>0</v>
      </c>
      <c r="F1586" s="2909">
        <f t="shared" ref="F1586" si="338">F1587+F1588</f>
        <v>0</v>
      </c>
      <c r="G1586" s="2789"/>
      <c r="H1586" s="2910"/>
      <c r="I1586" s="1769" t="e">
        <f t="shared" si="337"/>
        <v>#DIV/0!</v>
      </c>
    </row>
    <row r="1587" spans="1:9" ht="39" hidden="1" thickBot="1">
      <c r="A1587" s="1614"/>
      <c r="B1587" s="1684"/>
      <c r="C1587" s="2946" t="s">
        <v>1095</v>
      </c>
      <c r="D1587" s="2947" t="s">
        <v>1096</v>
      </c>
      <c r="E1587" s="2917">
        <v>0</v>
      </c>
      <c r="F1587" s="2917">
        <v>0</v>
      </c>
      <c r="G1587" s="2789"/>
      <c r="H1587" s="2910"/>
      <c r="I1587" s="1769" t="e">
        <f t="shared" si="337"/>
        <v>#DIV/0!</v>
      </c>
    </row>
    <row r="1588" spans="1:9" ht="39" hidden="1" thickBot="1">
      <c r="A1588" s="1614"/>
      <c r="B1588" s="1684"/>
      <c r="C1588" s="2946" t="s">
        <v>1097</v>
      </c>
      <c r="D1588" s="2947" t="s">
        <v>1098</v>
      </c>
      <c r="E1588" s="2917">
        <v>0</v>
      </c>
      <c r="F1588" s="2917">
        <v>0</v>
      </c>
      <c r="G1588" s="2789"/>
      <c r="H1588" s="2910"/>
      <c r="I1588" s="1769" t="e">
        <f t="shared" si="337"/>
        <v>#DIV/0!</v>
      </c>
    </row>
    <row r="1589" spans="1:9" ht="13.5" hidden="1" thickBot="1">
      <c r="A1589" s="1614"/>
      <c r="B1589" s="1684"/>
      <c r="C1589" s="2948"/>
      <c r="D1589" s="2947"/>
      <c r="E1589" s="2909"/>
      <c r="F1589" s="2909"/>
      <c r="G1589" s="2789"/>
      <c r="H1589" s="2910"/>
      <c r="I1589" s="1769" t="e">
        <f t="shared" si="337"/>
        <v>#DIV/0!</v>
      </c>
    </row>
    <row r="1590" spans="1:9" ht="15.75" hidden="1" thickBot="1">
      <c r="A1590" s="1614"/>
      <c r="B1590" s="1684"/>
      <c r="C1590" s="4809" t="s">
        <v>793</v>
      </c>
      <c r="D1590" s="4810"/>
      <c r="E1590" s="2949">
        <f>E1591</f>
        <v>0</v>
      </c>
      <c r="F1590" s="2949">
        <f>F1591</f>
        <v>0</v>
      </c>
      <c r="G1590" s="2789"/>
      <c r="H1590" s="2910"/>
      <c r="I1590" s="1769" t="e">
        <f t="shared" si="337"/>
        <v>#DIV/0!</v>
      </c>
    </row>
    <row r="1591" spans="1:9" ht="36" hidden="1" customHeight="1" thickBot="1">
      <c r="A1591" s="1614"/>
      <c r="B1591" s="1684"/>
      <c r="C1591" s="4811" t="s">
        <v>794</v>
      </c>
      <c r="D1591" s="4812"/>
      <c r="E1591" s="2909">
        <f>E1592+E1593</f>
        <v>0</v>
      </c>
      <c r="F1591" s="2909">
        <f>F1592+F1593</f>
        <v>0</v>
      </c>
      <c r="G1591" s="2789"/>
      <c r="H1591" s="2910"/>
      <c r="I1591" s="1769" t="e">
        <f t="shared" si="337"/>
        <v>#DIV/0!</v>
      </c>
    </row>
    <row r="1592" spans="1:9" ht="38.25" hidden="1" customHeight="1" thickBot="1">
      <c r="A1592" s="1614"/>
      <c r="B1592" s="1684"/>
      <c r="C1592" s="2938" t="s">
        <v>112</v>
      </c>
      <c r="D1592" s="2950" t="s">
        <v>965</v>
      </c>
      <c r="E1592" s="2909"/>
      <c r="F1592" s="2909">
        <v>0</v>
      </c>
      <c r="G1592" s="2789"/>
      <c r="H1592" s="2910"/>
      <c r="I1592" s="1769" t="e">
        <f t="shared" si="337"/>
        <v>#DIV/0!</v>
      </c>
    </row>
    <row r="1593" spans="1:9" ht="1.5" hidden="1" customHeight="1" thickBot="1">
      <c r="A1593" s="1614"/>
      <c r="B1593" s="1684"/>
      <c r="C1593" s="2951" t="s">
        <v>54</v>
      </c>
      <c r="D1593" s="2952" t="s">
        <v>966</v>
      </c>
      <c r="E1593" s="1678"/>
      <c r="F1593" s="1678">
        <v>0</v>
      </c>
      <c r="G1593" s="2945"/>
      <c r="H1593" s="2910"/>
      <c r="I1593" s="1725" t="e">
        <f t="shared" si="337"/>
        <v>#DIV/0!</v>
      </c>
    </row>
    <row r="1594" spans="1:9" ht="17.100000000000001" customHeight="1" thickBot="1">
      <c r="A1594" s="2708" t="s">
        <v>40</v>
      </c>
      <c r="B1594" s="2709"/>
      <c r="C1594" s="2710"/>
      <c r="D1594" s="2953" t="s">
        <v>1099</v>
      </c>
      <c r="E1594" s="2736">
        <f>E1595+E1610+E1617+E1628+E1636+E1644+E1662+E1666+E1681+E1695</f>
        <v>77273696</v>
      </c>
      <c r="F1594" s="2736">
        <f>F1595+F1610+F1617+F1628+F1636+F1644+F1662+F1666+F1681+F1695+F1656</f>
        <v>46761115</v>
      </c>
      <c r="G1594" s="2736">
        <f>G1595+G1610+G1617+G1628+G1636+G1644+G1662+G1666+G1681+G1695+G1656+G1686</f>
        <v>121064164</v>
      </c>
      <c r="H1594" s="2715">
        <f>H1595+H1610+H1617+H1628+H1636+H1644+H1662+H1666+H1681+H1695+H1656+H1686</f>
        <v>91614328.230000004</v>
      </c>
      <c r="I1594" s="2690">
        <f t="shared" si="337"/>
        <v>0.75674192265516327</v>
      </c>
    </row>
    <row r="1595" spans="1:9" ht="17.100000000000001" customHeight="1" thickBot="1">
      <c r="A1595" s="1614"/>
      <c r="B1595" s="2691" t="s">
        <v>354</v>
      </c>
      <c r="C1595" s="1727"/>
      <c r="D1595" s="1728" t="s">
        <v>355</v>
      </c>
      <c r="E1595" s="2738">
        <f>E1596+E1605</f>
        <v>55024055</v>
      </c>
      <c r="F1595" s="2738">
        <f>F1596+F1605</f>
        <v>34827484</v>
      </c>
      <c r="G1595" s="2767">
        <f>G1596+G1605</f>
        <v>64144220</v>
      </c>
      <c r="H1595" s="2720">
        <f t="shared" ref="H1595" si="339">H1596+H1605</f>
        <v>44402861.030000001</v>
      </c>
      <c r="I1595" s="2702">
        <f t="shared" si="337"/>
        <v>0.69223479574621072</v>
      </c>
    </row>
    <row r="1596" spans="1:9" ht="13.5" customHeight="1">
      <c r="A1596" s="1614"/>
      <c r="B1596" s="2954"/>
      <c r="C1596" s="4786" t="s">
        <v>760</v>
      </c>
      <c r="D1596" s="4813"/>
      <c r="E1596" s="1734">
        <f>E1597+E1601</f>
        <v>7486982</v>
      </c>
      <c r="F1596" s="1734">
        <f>F1597+F1601</f>
        <v>490000</v>
      </c>
      <c r="G1596" s="2458">
        <f>G1597+G1601</f>
        <v>7853163</v>
      </c>
      <c r="H1596" s="1736">
        <f t="shared" ref="H1596" si="340">H1597+H1601</f>
        <v>7852995.25</v>
      </c>
      <c r="I1596" s="1769">
        <f t="shared" si="337"/>
        <v>0.99997863918016217</v>
      </c>
    </row>
    <row r="1597" spans="1:9" ht="13.5" customHeight="1">
      <c r="A1597" s="1614"/>
      <c r="B1597" s="2954"/>
      <c r="C1597" s="4808" t="s">
        <v>761</v>
      </c>
      <c r="D1597" s="4808"/>
      <c r="E1597" s="1668">
        <f>E1598</f>
        <v>6590934</v>
      </c>
      <c r="F1597" s="1668">
        <f>F1598</f>
        <v>0</v>
      </c>
      <c r="G1597" s="2134">
        <f t="shared" ref="G1597:H1598" si="341">G1598</f>
        <v>6329813</v>
      </c>
      <c r="H1597" s="1818">
        <f t="shared" si="341"/>
        <v>6329812.5800000001</v>
      </c>
      <c r="I1597" s="1769">
        <f t="shared" si="337"/>
        <v>0.99999993364732898</v>
      </c>
    </row>
    <row r="1598" spans="1:9" ht="13.5" customHeight="1">
      <c r="A1598" s="1638"/>
      <c r="B1598" s="2954"/>
      <c r="C1598" s="4814" t="s">
        <v>769</v>
      </c>
      <c r="D1598" s="4815"/>
      <c r="E1598" s="2837">
        <f>E1599</f>
        <v>6590934</v>
      </c>
      <c r="F1598" s="2837">
        <f>F1599</f>
        <v>0</v>
      </c>
      <c r="G1598" s="2855">
        <f t="shared" si="341"/>
        <v>6329813</v>
      </c>
      <c r="H1598" s="2838">
        <f t="shared" si="341"/>
        <v>6329812.5800000001</v>
      </c>
      <c r="I1598" s="1769">
        <f t="shared" si="337"/>
        <v>0.99999993364732898</v>
      </c>
    </row>
    <row r="1599" spans="1:9" ht="25.5">
      <c r="A1599" s="1638"/>
      <c r="B1599" s="2954"/>
      <c r="C1599" s="2916" t="s">
        <v>1100</v>
      </c>
      <c r="D1599" s="2955" t="s">
        <v>1101</v>
      </c>
      <c r="E1599" s="1661">
        <v>6590934</v>
      </c>
      <c r="F1599" s="1661">
        <v>0</v>
      </c>
      <c r="G1599" s="1760">
        <v>6329813</v>
      </c>
      <c r="H1599" s="1663">
        <v>6329812.5800000001</v>
      </c>
      <c r="I1599" s="1769">
        <f t="shared" si="337"/>
        <v>0.99999993364732898</v>
      </c>
    </row>
    <row r="1600" spans="1:9">
      <c r="A1600" s="1614"/>
      <c r="B1600" s="2954"/>
      <c r="C1600" s="1614"/>
      <c r="D1600" s="2122"/>
      <c r="E1600" s="1668"/>
      <c r="F1600" s="1668"/>
      <c r="G1600" s="2134"/>
      <c r="H1600" s="1818"/>
      <c r="I1600" s="1769"/>
    </row>
    <row r="1601" spans="1:9" ht="17.100000000000001" customHeight="1">
      <c r="A1601" s="1614"/>
      <c r="B1601" s="2954"/>
      <c r="C1601" s="4800" t="s">
        <v>1094</v>
      </c>
      <c r="D1601" s="4801"/>
      <c r="E1601" s="2837">
        <f>E1602+E1603</f>
        <v>896048</v>
      </c>
      <c r="F1601" s="2837">
        <f t="shared" ref="F1601:H1601" si="342">F1602+F1603</f>
        <v>490000</v>
      </c>
      <c r="G1601" s="2855">
        <f t="shared" si="342"/>
        <v>1523350</v>
      </c>
      <c r="H1601" s="2838">
        <f t="shared" si="342"/>
        <v>1523182.67</v>
      </c>
      <c r="I1601" s="1769">
        <f t="shared" si="337"/>
        <v>0.99989015656283842</v>
      </c>
    </row>
    <row r="1602" spans="1:9" ht="50.25" hidden="1" customHeight="1">
      <c r="A1602" s="1614"/>
      <c r="B1602" s="2954"/>
      <c r="C1602" s="2956" t="s">
        <v>689</v>
      </c>
      <c r="D1602" s="2947" t="s">
        <v>804</v>
      </c>
      <c r="E1602" s="2837"/>
      <c r="F1602" s="2837"/>
      <c r="G1602" s="2957"/>
      <c r="H1602" s="2838"/>
      <c r="I1602" s="1769" t="e">
        <f t="shared" si="337"/>
        <v>#DIV/0!</v>
      </c>
    </row>
    <row r="1603" spans="1:9" ht="39.75" customHeight="1">
      <c r="A1603" s="1614"/>
      <c r="B1603" s="2954"/>
      <c r="C1603" s="2958" t="s">
        <v>1102</v>
      </c>
      <c r="D1603" s="2959" t="s">
        <v>1103</v>
      </c>
      <c r="E1603" s="2837">
        <v>896048</v>
      </c>
      <c r="F1603" s="2837">
        <v>490000</v>
      </c>
      <c r="G1603" s="2960">
        <v>1523350</v>
      </c>
      <c r="H1603" s="2838">
        <v>1523182.67</v>
      </c>
      <c r="I1603" s="1769">
        <f t="shared" si="337"/>
        <v>0.99989015656283842</v>
      </c>
    </row>
    <row r="1604" spans="1:9" ht="17.100000000000001" customHeight="1">
      <c r="A1604" s="1614"/>
      <c r="B1604" s="2954"/>
      <c r="C1604" s="2961"/>
      <c r="D1604" s="2962"/>
      <c r="E1604" s="2963"/>
      <c r="F1604" s="2963"/>
      <c r="G1604" s="2960"/>
      <c r="H1604" s="2838"/>
      <c r="I1604" s="1769"/>
    </row>
    <row r="1605" spans="1:9" ht="17.100000000000001" customHeight="1">
      <c r="A1605" s="1614"/>
      <c r="B1605" s="2954"/>
      <c r="C1605" s="4802" t="s">
        <v>793</v>
      </c>
      <c r="D1605" s="4802"/>
      <c r="E1605" s="2964">
        <f>E1606</f>
        <v>47537073</v>
      </c>
      <c r="F1605" s="2964">
        <f t="shared" ref="F1605:H1605" si="343">F1606</f>
        <v>34337484</v>
      </c>
      <c r="G1605" s="2965">
        <f>G1606</f>
        <v>56291057</v>
      </c>
      <c r="H1605" s="2966">
        <f t="shared" si="343"/>
        <v>36549865.780000001</v>
      </c>
      <c r="I1605" s="1780">
        <f t="shared" si="337"/>
        <v>0.64930146506220343</v>
      </c>
    </row>
    <row r="1606" spans="1:9" ht="17.100000000000001" customHeight="1">
      <c r="A1606" s="1614"/>
      <c r="B1606" s="2954"/>
      <c r="C1606" s="4803" t="s">
        <v>794</v>
      </c>
      <c r="D1606" s="4803"/>
      <c r="E1606" s="2837">
        <f>SUM(E1607:E1609)</f>
        <v>47537073</v>
      </c>
      <c r="F1606" s="2837">
        <f>SUM(F1607:F1609)</f>
        <v>34337484</v>
      </c>
      <c r="G1606" s="2855">
        <f t="shared" ref="G1606:H1606" si="344">SUM(G1607:G1609)</f>
        <v>56291057</v>
      </c>
      <c r="H1606" s="2838">
        <f t="shared" si="344"/>
        <v>36549865.780000001</v>
      </c>
      <c r="I1606" s="1769">
        <f t="shared" si="337"/>
        <v>0.64930146506220343</v>
      </c>
    </row>
    <row r="1607" spans="1:9" ht="50.25" customHeight="1">
      <c r="A1607" s="1614"/>
      <c r="B1607" s="2967"/>
      <c r="C1607" s="2968" t="s">
        <v>872</v>
      </c>
      <c r="D1607" s="2969" t="s">
        <v>877</v>
      </c>
      <c r="E1607" s="2837">
        <v>5633022</v>
      </c>
      <c r="F1607" s="2837">
        <v>8529691</v>
      </c>
      <c r="G1607" s="2960">
        <v>10738099</v>
      </c>
      <c r="H1607" s="2838">
        <v>8740926.4000000004</v>
      </c>
      <c r="I1607" s="1769">
        <f t="shared" si="337"/>
        <v>0.8140105990827613</v>
      </c>
    </row>
    <row r="1608" spans="1:9" ht="41.25" customHeight="1" thickBot="1">
      <c r="A1608" s="2271"/>
      <c r="B1608" s="2970"/>
      <c r="C1608" s="2110" t="s">
        <v>112</v>
      </c>
      <c r="D1608" s="2111" t="s">
        <v>965</v>
      </c>
      <c r="E1608" s="1814">
        <v>41849560</v>
      </c>
      <c r="F1608" s="1814">
        <v>25807793</v>
      </c>
      <c r="G1608" s="1902">
        <v>45552958</v>
      </c>
      <c r="H1608" s="1815">
        <v>27808939.379999999</v>
      </c>
      <c r="I1608" s="1651">
        <f t="shared" si="337"/>
        <v>0.6104749417150912</v>
      </c>
    </row>
    <row r="1609" spans="1:9" ht="33" hidden="1" customHeight="1" thickBot="1">
      <c r="A1609" s="1638"/>
      <c r="B1609" s="2970"/>
      <c r="C1609" s="2110" t="s">
        <v>636</v>
      </c>
      <c r="D1609" s="2111" t="s">
        <v>967</v>
      </c>
      <c r="E1609" s="1814">
        <v>54491</v>
      </c>
      <c r="F1609" s="1814">
        <v>0</v>
      </c>
      <c r="G1609" s="1902">
        <v>0</v>
      </c>
      <c r="H1609" s="1815">
        <v>0</v>
      </c>
      <c r="I1609" s="1651" t="e">
        <f t="shared" si="337"/>
        <v>#DIV/0!</v>
      </c>
    </row>
    <row r="1610" spans="1:9" ht="15.75" customHeight="1" thickBot="1">
      <c r="A1610" s="1638"/>
      <c r="B1610" s="2691" t="s">
        <v>1104</v>
      </c>
      <c r="C1610" s="1727"/>
      <c r="D1610" s="1728" t="s">
        <v>1105</v>
      </c>
      <c r="E1610" s="2738">
        <f>E1611</f>
        <v>10975000</v>
      </c>
      <c r="F1610" s="2738">
        <f t="shared" ref="F1610:H1615" si="345">F1611</f>
        <v>0</v>
      </c>
      <c r="G1610" s="2767">
        <f t="shared" si="345"/>
        <v>914000</v>
      </c>
      <c r="H1610" s="2720">
        <f t="shared" si="345"/>
        <v>914000</v>
      </c>
      <c r="I1610" s="2702">
        <f t="shared" si="337"/>
        <v>1</v>
      </c>
    </row>
    <row r="1611" spans="1:9" ht="18.75" customHeight="1">
      <c r="A1611" s="1614"/>
      <c r="B1611" s="2967"/>
      <c r="C1611" s="4798" t="s">
        <v>793</v>
      </c>
      <c r="D1611" s="4804"/>
      <c r="E1611" s="2837">
        <f>E1615</f>
        <v>10975000</v>
      </c>
      <c r="F1611" s="2964">
        <f>F1615+F1612</f>
        <v>0</v>
      </c>
      <c r="G1611" s="2964">
        <f>G1615+G1612</f>
        <v>914000</v>
      </c>
      <c r="H1611" s="2966">
        <f>H1615+H1612</f>
        <v>914000</v>
      </c>
      <c r="I1611" s="1780">
        <f t="shared" si="337"/>
        <v>1</v>
      </c>
    </row>
    <row r="1612" spans="1:9" ht="18.75" hidden="1" customHeight="1">
      <c r="A1612" s="1614"/>
      <c r="B1612" s="2967"/>
      <c r="C1612" s="4805" t="s">
        <v>794</v>
      </c>
      <c r="D1612" s="4806"/>
      <c r="E1612" s="2837"/>
      <c r="F1612" s="2837">
        <f>F1613</f>
        <v>0</v>
      </c>
      <c r="G1612" s="2837">
        <f t="shared" ref="G1612:H1612" si="346">G1613</f>
        <v>0</v>
      </c>
      <c r="H1612" s="2838">
        <f t="shared" si="346"/>
        <v>0</v>
      </c>
      <c r="I1612" s="1769" t="e">
        <f t="shared" si="337"/>
        <v>#DIV/0!</v>
      </c>
    </row>
    <row r="1613" spans="1:9" ht="42.75" hidden="1" customHeight="1">
      <c r="A1613" s="1614"/>
      <c r="B1613" s="2967"/>
      <c r="C1613" s="2971" t="s">
        <v>54</v>
      </c>
      <c r="D1613" s="2972" t="s">
        <v>966</v>
      </c>
      <c r="E1613" s="2837"/>
      <c r="F1613" s="2837">
        <v>0</v>
      </c>
      <c r="G1613" s="2855">
        <v>0</v>
      </c>
      <c r="H1613" s="2838">
        <v>0</v>
      </c>
      <c r="I1613" s="1769" t="e">
        <f t="shared" si="337"/>
        <v>#DIV/0!</v>
      </c>
    </row>
    <row r="1614" spans="1:9" ht="12.75" hidden="1" customHeight="1">
      <c r="A1614" s="1614"/>
      <c r="B1614" s="2967"/>
      <c r="C1614" s="2973"/>
      <c r="D1614" s="2919"/>
      <c r="E1614" s="2837"/>
      <c r="F1614" s="2964"/>
      <c r="G1614" s="2965"/>
      <c r="H1614" s="2966"/>
      <c r="I1614" s="1780"/>
    </row>
    <row r="1615" spans="1:9" ht="15.75" customHeight="1">
      <c r="A1615" s="1614"/>
      <c r="B1615" s="2967"/>
      <c r="C1615" s="4805" t="s">
        <v>910</v>
      </c>
      <c r="D1615" s="4806"/>
      <c r="E1615" s="2837">
        <f>E1616</f>
        <v>10975000</v>
      </c>
      <c r="F1615" s="2837">
        <f t="shared" si="345"/>
        <v>0</v>
      </c>
      <c r="G1615" s="2855">
        <f t="shared" si="345"/>
        <v>914000</v>
      </c>
      <c r="H1615" s="2838">
        <f t="shared" si="345"/>
        <v>914000</v>
      </c>
      <c r="I1615" s="1769">
        <f t="shared" si="337"/>
        <v>1</v>
      </c>
    </row>
    <row r="1616" spans="1:9" ht="39.75" customHeight="1" thickBot="1">
      <c r="A1616" s="1614"/>
      <c r="B1616" s="2967"/>
      <c r="C1616" s="2974" t="s">
        <v>911</v>
      </c>
      <c r="D1616" s="2975" t="s">
        <v>912</v>
      </c>
      <c r="E1616" s="2305">
        <v>10975000</v>
      </c>
      <c r="F1616" s="2305">
        <v>0</v>
      </c>
      <c r="G1616" s="2166">
        <v>914000</v>
      </c>
      <c r="H1616" s="2306">
        <v>914000</v>
      </c>
      <c r="I1616" s="1725">
        <f t="shared" si="337"/>
        <v>1</v>
      </c>
    </row>
    <row r="1617" spans="1:9" ht="15.75" customHeight="1" thickBot="1">
      <c r="A1617" s="1614"/>
      <c r="B1617" s="2976" t="s">
        <v>1106</v>
      </c>
      <c r="C1617" s="2977"/>
      <c r="D1617" s="2978" t="s">
        <v>644</v>
      </c>
      <c r="E1617" s="2979">
        <f t="shared" ref="E1617:H1617" si="347">E1625+E1618</f>
        <v>3464473</v>
      </c>
      <c r="F1617" s="2979">
        <f t="shared" si="347"/>
        <v>4363054</v>
      </c>
      <c r="G1617" s="2980">
        <f t="shared" si="347"/>
        <v>10271126</v>
      </c>
      <c r="H1617" s="2981">
        <f t="shared" si="347"/>
        <v>7133274.1899999995</v>
      </c>
      <c r="I1617" s="2702">
        <f t="shared" si="337"/>
        <v>0.69449777852983208</v>
      </c>
    </row>
    <row r="1618" spans="1:9" ht="15.75" customHeight="1">
      <c r="A1618" s="1614"/>
      <c r="B1618" s="1779"/>
      <c r="C1618" s="4781" t="s">
        <v>760</v>
      </c>
      <c r="D1618" s="4660"/>
      <c r="E1618" s="1985">
        <f>E1622</f>
        <v>30000</v>
      </c>
      <c r="F1618" s="1985">
        <f>F1622+F1619</f>
        <v>30000</v>
      </c>
      <c r="G1618" s="1985">
        <f t="shared" ref="G1618:H1618" si="348">G1622+G1619</f>
        <v>3700187</v>
      </c>
      <c r="H1618" s="1986">
        <f t="shared" si="348"/>
        <v>3680187</v>
      </c>
      <c r="I1618" s="2982">
        <f t="shared" si="337"/>
        <v>0.99459486777289907</v>
      </c>
    </row>
    <row r="1619" spans="1:9" ht="13.5" customHeight="1">
      <c r="A1619" s="1614"/>
      <c r="B1619" s="1779"/>
      <c r="C1619" s="4794" t="s">
        <v>761</v>
      </c>
      <c r="D1619" s="4794"/>
      <c r="E1619" s="1668">
        <f>E1620</f>
        <v>6590934</v>
      </c>
      <c r="F1619" s="1668">
        <f>F1620</f>
        <v>0</v>
      </c>
      <c r="G1619" s="2134">
        <f t="shared" ref="G1619:H1620" si="349">G1620</f>
        <v>3670187</v>
      </c>
      <c r="H1619" s="1818">
        <f t="shared" si="349"/>
        <v>3670187</v>
      </c>
      <c r="I1619" s="1769">
        <f t="shared" si="337"/>
        <v>1</v>
      </c>
    </row>
    <row r="1620" spans="1:9" ht="13.5" customHeight="1">
      <c r="A1620" s="1614"/>
      <c r="B1620" s="1779"/>
      <c r="C1620" s="4795" t="s">
        <v>769</v>
      </c>
      <c r="D1620" s="4795"/>
      <c r="E1620" s="2837">
        <f>E1621</f>
        <v>6590934</v>
      </c>
      <c r="F1620" s="2837">
        <f>F1621</f>
        <v>0</v>
      </c>
      <c r="G1620" s="2855">
        <f t="shared" si="349"/>
        <v>3670187</v>
      </c>
      <c r="H1620" s="2838">
        <f t="shared" si="349"/>
        <v>3670187</v>
      </c>
      <c r="I1620" s="1769">
        <f t="shared" si="337"/>
        <v>1</v>
      </c>
    </row>
    <row r="1621" spans="1:9" ht="25.5">
      <c r="A1621" s="1614"/>
      <c r="B1621" s="1779"/>
      <c r="C1621" s="2983" t="s">
        <v>1100</v>
      </c>
      <c r="D1621" s="2984" t="s">
        <v>1101</v>
      </c>
      <c r="E1621" s="1661">
        <v>6590934</v>
      </c>
      <c r="F1621" s="1661">
        <v>0</v>
      </c>
      <c r="G1621" s="1760">
        <v>3670187</v>
      </c>
      <c r="H1621" s="1663">
        <v>3670187</v>
      </c>
      <c r="I1621" s="1769">
        <f t="shared" si="337"/>
        <v>1</v>
      </c>
    </row>
    <row r="1622" spans="1:9" ht="15.75" customHeight="1">
      <c r="A1622" s="1614"/>
      <c r="B1622" s="1779"/>
      <c r="C1622" s="4796" t="s">
        <v>1094</v>
      </c>
      <c r="D1622" s="4797"/>
      <c r="E1622" s="2985">
        <f t="shared" ref="E1622:H1622" si="350">E1623</f>
        <v>30000</v>
      </c>
      <c r="F1622" s="2985">
        <f t="shared" si="350"/>
        <v>30000</v>
      </c>
      <c r="G1622" s="2986">
        <f t="shared" si="350"/>
        <v>30000</v>
      </c>
      <c r="H1622" s="2987">
        <f t="shared" si="350"/>
        <v>10000</v>
      </c>
      <c r="I1622" s="2988">
        <f t="shared" si="337"/>
        <v>0.33333333333333331</v>
      </c>
    </row>
    <row r="1623" spans="1:9" ht="39" customHeight="1">
      <c r="A1623" s="1614"/>
      <c r="B1623" s="1779"/>
      <c r="C1623" s="2989" t="s">
        <v>1102</v>
      </c>
      <c r="D1623" s="2990" t="s">
        <v>1103</v>
      </c>
      <c r="E1623" s="2985">
        <v>30000</v>
      </c>
      <c r="F1623" s="2985">
        <v>30000</v>
      </c>
      <c r="G1623" s="2991">
        <v>30000</v>
      </c>
      <c r="H1623" s="2838">
        <v>10000</v>
      </c>
      <c r="I1623" s="2988">
        <f t="shared" si="337"/>
        <v>0.33333333333333331</v>
      </c>
    </row>
    <row r="1624" spans="1:9" ht="15">
      <c r="A1624" s="1614"/>
      <c r="B1624" s="1779"/>
      <c r="C1624" s="2992"/>
      <c r="D1624" s="1960"/>
      <c r="E1624" s="1961"/>
      <c r="F1624" s="1961"/>
      <c r="G1624" s="2991"/>
      <c r="H1624" s="2838"/>
      <c r="I1624" s="1769"/>
    </row>
    <row r="1625" spans="1:9" ht="15.75" customHeight="1">
      <c r="A1625" s="4716"/>
      <c r="B1625" s="4687"/>
      <c r="C1625" s="4798" t="s">
        <v>793</v>
      </c>
      <c r="D1625" s="4799"/>
      <c r="E1625" s="2964">
        <f t="shared" ref="E1625:H1626" si="351">E1626</f>
        <v>3434473</v>
      </c>
      <c r="F1625" s="2964">
        <f t="shared" si="351"/>
        <v>4333054</v>
      </c>
      <c r="G1625" s="2965">
        <f t="shared" si="351"/>
        <v>6570939</v>
      </c>
      <c r="H1625" s="2966">
        <f t="shared" si="351"/>
        <v>3453087.19</v>
      </c>
      <c r="I1625" s="2993">
        <f t="shared" si="337"/>
        <v>0.52550894019865346</v>
      </c>
    </row>
    <row r="1626" spans="1:9" ht="15.75" customHeight="1">
      <c r="A1626" s="4716"/>
      <c r="B1626" s="4687"/>
      <c r="C1626" s="4608" t="s">
        <v>794</v>
      </c>
      <c r="D1626" s="4608"/>
      <c r="E1626" s="1668">
        <f t="shared" si="351"/>
        <v>3434473</v>
      </c>
      <c r="F1626" s="1668">
        <f t="shared" si="351"/>
        <v>4333054</v>
      </c>
      <c r="G1626" s="2134">
        <f t="shared" si="351"/>
        <v>6570939</v>
      </c>
      <c r="H1626" s="1818">
        <f t="shared" si="351"/>
        <v>3453087.19</v>
      </c>
      <c r="I1626" s="1769">
        <f t="shared" si="337"/>
        <v>0.52550894019865346</v>
      </c>
    </row>
    <row r="1627" spans="1:9" ht="42.75" customHeight="1" thickBot="1">
      <c r="A1627" s="1614"/>
      <c r="B1627" s="1779"/>
      <c r="C1627" s="1900" t="s">
        <v>112</v>
      </c>
      <c r="D1627" s="1920" t="s">
        <v>965</v>
      </c>
      <c r="E1627" s="1678">
        <v>3434473</v>
      </c>
      <c r="F1627" s="1678">
        <v>4333054</v>
      </c>
      <c r="G1627" s="2991">
        <v>6570939</v>
      </c>
      <c r="H1627" s="2838">
        <v>3453087.19</v>
      </c>
      <c r="I1627" s="1725">
        <f t="shared" si="337"/>
        <v>0.52550894019865346</v>
      </c>
    </row>
    <row r="1628" spans="1:9" ht="17.100000000000001" customHeight="1" thickBot="1">
      <c r="A1628" s="1614"/>
      <c r="B1628" s="2994" t="s">
        <v>1107</v>
      </c>
      <c r="C1628" s="1727"/>
      <c r="D1628" s="1728" t="s">
        <v>1108</v>
      </c>
      <c r="E1628" s="2738">
        <f>SUM(E1633)</f>
        <v>405556</v>
      </c>
      <c r="F1628" s="2738">
        <f>F1629+F1633</f>
        <v>3902969</v>
      </c>
      <c r="G1628" s="2738">
        <f t="shared" ref="G1628:H1628" si="352">G1629+G1633</f>
        <v>1982744</v>
      </c>
      <c r="H1628" s="2720">
        <f t="shared" si="352"/>
        <v>1782495.28</v>
      </c>
      <c r="I1628" s="2702">
        <f t="shared" si="337"/>
        <v>0.89900424865741624</v>
      </c>
    </row>
    <row r="1629" spans="1:9" ht="16.5" customHeight="1" thickBot="1">
      <c r="A1629" s="1614"/>
      <c r="B1629" s="2967"/>
      <c r="C1629" s="4786" t="s">
        <v>760</v>
      </c>
      <c r="D1629" s="4787"/>
      <c r="E1629" s="2995"/>
      <c r="F1629" s="2996">
        <f>F1630</f>
        <v>550000</v>
      </c>
      <c r="G1629" s="2996">
        <f t="shared" ref="G1629:H1630" si="353">G1630</f>
        <v>550000</v>
      </c>
      <c r="H1629" s="2997">
        <f t="shared" si="353"/>
        <v>550000</v>
      </c>
      <c r="I1629" s="2998">
        <f>G1629/H1629</f>
        <v>1</v>
      </c>
    </row>
    <row r="1630" spans="1:9" ht="17.100000000000001" customHeight="1">
      <c r="A1630" s="1614"/>
      <c r="B1630" s="2967"/>
      <c r="C1630" s="4788" t="s">
        <v>1094</v>
      </c>
      <c r="D1630" s="4789"/>
      <c r="E1630" s="2999"/>
      <c r="F1630" s="3000">
        <f>F1631</f>
        <v>550000</v>
      </c>
      <c r="G1630" s="3000">
        <f t="shared" si="353"/>
        <v>550000</v>
      </c>
      <c r="H1630" s="3001">
        <f t="shared" si="353"/>
        <v>550000</v>
      </c>
      <c r="I1630" s="2671">
        <f t="shared" ref="I1630:I1631" si="354">G1630/H1630</f>
        <v>1</v>
      </c>
    </row>
    <row r="1631" spans="1:9" ht="41.25" customHeight="1">
      <c r="A1631" s="1614"/>
      <c r="B1631" s="2967"/>
      <c r="C1631" s="3002" t="s">
        <v>1102</v>
      </c>
      <c r="D1631" s="3003" t="s">
        <v>1103</v>
      </c>
      <c r="E1631" s="2999"/>
      <c r="F1631" s="2837">
        <v>550000</v>
      </c>
      <c r="G1631" s="3004">
        <v>550000</v>
      </c>
      <c r="H1631" s="2838">
        <v>550000</v>
      </c>
      <c r="I1631" s="1769">
        <f t="shared" si="354"/>
        <v>1</v>
      </c>
    </row>
    <row r="1632" spans="1:9">
      <c r="A1632" s="1638"/>
      <c r="B1632" s="4790"/>
      <c r="C1632" s="4792"/>
      <c r="D1632" s="4793"/>
      <c r="E1632" s="2999"/>
      <c r="F1632" s="3000"/>
      <c r="G1632" s="3005"/>
      <c r="H1632" s="3001"/>
      <c r="I1632" s="3006"/>
    </row>
    <row r="1633" spans="1:9" ht="15" customHeight="1">
      <c r="A1633" s="1638"/>
      <c r="B1633" s="4790"/>
      <c r="C1633" s="4749" t="s">
        <v>793</v>
      </c>
      <c r="D1633" s="4749"/>
      <c r="E1633" s="1760">
        <f t="shared" ref="E1633:H1633" si="355">SUM(E1634)</f>
        <v>405556</v>
      </c>
      <c r="F1633" s="1661">
        <f t="shared" si="355"/>
        <v>3352969</v>
      </c>
      <c r="G1633" s="1768">
        <f t="shared" si="355"/>
        <v>1432744</v>
      </c>
      <c r="H1633" s="1663">
        <f t="shared" si="355"/>
        <v>1232495.28</v>
      </c>
      <c r="I1633" s="1769">
        <f t="shared" si="337"/>
        <v>0.8602341241701239</v>
      </c>
    </row>
    <row r="1634" spans="1:9" ht="15" customHeight="1">
      <c r="A1634" s="1614"/>
      <c r="B1634" s="4790"/>
      <c r="C1634" s="4780" t="s">
        <v>794</v>
      </c>
      <c r="D1634" s="4780"/>
      <c r="E1634" s="2855">
        <f t="shared" ref="E1634:H1634" si="356">E1635</f>
        <v>405556</v>
      </c>
      <c r="F1634" s="2837">
        <f t="shared" si="356"/>
        <v>3352969</v>
      </c>
      <c r="G1634" s="3004">
        <f t="shared" si="356"/>
        <v>1432744</v>
      </c>
      <c r="H1634" s="2838">
        <f t="shared" si="356"/>
        <v>1232495.28</v>
      </c>
      <c r="I1634" s="1769">
        <f t="shared" si="337"/>
        <v>0.8602341241701239</v>
      </c>
    </row>
    <row r="1635" spans="1:9" ht="42" customHeight="1" thickBot="1">
      <c r="A1635" s="1645"/>
      <c r="B1635" s="4791"/>
      <c r="C1635" s="3007" t="s">
        <v>112</v>
      </c>
      <c r="D1635" s="3008" t="s">
        <v>965</v>
      </c>
      <c r="E1635" s="1745">
        <v>405556</v>
      </c>
      <c r="F1635" s="1678">
        <v>3352969</v>
      </c>
      <c r="G1635" s="3009">
        <v>1432744</v>
      </c>
      <c r="H1635" s="1747">
        <v>1232495.28</v>
      </c>
      <c r="I1635" s="1651">
        <f t="shared" si="337"/>
        <v>0.8602341241701239</v>
      </c>
    </row>
    <row r="1636" spans="1:9" ht="13.5" thickBot="1">
      <c r="A1636" s="1614"/>
      <c r="B1636" s="3010" t="s">
        <v>183</v>
      </c>
      <c r="C1636" s="3011"/>
      <c r="D1636" s="3012" t="s">
        <v>184</v>
      </c>
      <c r="E1636" s="3013">
        <f>E1637+E1641</f>
        <v>2550000</v>
      </c>
      <c r="F1636" s="3013">
        <f t="shared" ref="F1636:H1636" si="357">F1637+F1641</f>
        <v>446400</v>
      </c>
      <c r="G1636" s="3014">
        <f t="shared" si="357"/>
        <v>2044774</v>
      </c>
      <c r="H1636" s="3015">
        <f t="shared" si="357"/>
        <v>1896485.22</v>
      </c>
      <c r="I1636" s="3016">
        <f t="shared" si="337"/>
        <v>0.92747913461340958</v>
      </c>
    </row>
    <row r="1637" spans="1:9" ht="15" hidden="1">
      <c r="A1637" s="1614"/>
      <c r="B1637" s="1894"/>
      <c r="C1637" s="4781" t="s">
        <v>760</v>
      </c>
      <c r="D1637" s="4660"/>
      <c r="E1637" s="1985">
        <f>E1638</f>
        <v>0</v>
      </c>
      <c r="F1637" s="1985">
        <f t="shared" ref="F1637:H1638" si="358">F1638</f>
        <v>0</v>
      </c>
      <c r="G1637" s="2063">
        <f t="shared" si="358"/>
        <v>0</v>
      </c>
      <c r="H1637" s="1986">
        <f t="shared" si="358"/>
        <v>0</v>
      </c>
      <c r="I1637" s="1780"/>
    </row>
    <row r="1638" spans="1:9" ht="15" hidden="1">
      <c r="A1638" s="1614"/>
      <c r="B1638" s="1894"/>
      <c r="C1638" s="4782" t="s">
        <v>1094</v>
      </c>
      <c r="D1638" s="4783"/>
      <c r="E1638" s="2985">
        <f>E1639</f>
        <v>0</v>
      </c>
      <c r="F1638" s="2985">
        <f t="shared" si="358"/>
        <v>0</v>
      </c>
      <c r="G1638" s="2986">
        <f t="shared" si="358"/>
        <v>0</v>
      </c>
      <c r="H1638" s="2987">
        <f t="shared" si="358"/>
        <v>0</v>
      </c>
      <c r="I1638" s="1769"/>
    </row>
    <row r="1639" spans="1:9" ht="39" hidden="1" customHeight="1">
      <c r="A1639" s="1614"/>
      <c r="B1639" s="1894"/>
      <c r="C1639" s="3017" t="s">
        <v>1102</v>
      </c>
      <c r="D1639" s="3018" t="s">
        <v>1103</v>
      </c>
      <c r="E1639" s="2985">
        <v>0</v>
      </c>
      <c r="F1639" s="2985">
        <v>0</v>
      </c>
      <c r="G1639" s="3019">
        <v>0</v>
      </c>
      <c r="H1639" s="2838">
        <v>0</v>
      </c>
      <c r="I1639" s="1769"/>
    </row>
    <row r="1640" spans="1:9" ht="15" hidden="1">
      <c r="A1640" s="1614"/>
      <c r="B1640" s="1894"/>
      <c r="C1640" s="4781"/>
      <c r="D1640" s="4660"/>
      <c r="E1640" s="1985"/>
      <c r="F1640" s="1985"/>
      <c r="G1640" s="3019"/>
      <c r="H1640" s="2838"/>
      <c r="I1640" s="1769"/>
    </row>
    <row r="1641" spans="1:9" ht="15.75" customHeight="1">
      <c r="A1641" s="1614"/>
      <c r="B1641" s="4784"/>
      <c r="C1641" s="4635" t="s">
        <v>793</v>
      </c>
      <c r="D1641" s="4635"/>
      <c r="E1641" s="1615">
        <f t="shared" ref="E1641:H1642" si="359">E1642</f>
        <v>2550000</v>
      </c>
      <c r="F1641" s="1615">
        <f t="shared" si="359"/>
        <v>446400</v>
      </c>
      <c r="G1641" s="1616">
        <f t="shared" si="359"/>
        <v>2044774</v>
      </c>
      <c r="H1641" s="1617">
        <f t="shared" si="359"/>
        <v>1896485.22</v>
      </c>
      <c r="I1641" s="1780">
        <f t="shared" si="337"/>
        <v>0.92747913461340958</v>
      </c>
    </row>
    <row r="1642" spans="1:9" ht="15.75" customHeight="1">
      <c r="A1642" s="1614"/>
      <c r="B1642" s="4784"/>
      <c r="C1642" s="4780" t="s">
        <v>908</v>
      </c>
      <c r="D1642" s="4780"/>
      <c r="E1642" s="2837">
        <f t="shared" si="359"/>
        <v>2550000</v>
      </c>
      <c r="F1642" s="2837">
        <f t="shared" si="359"/>
        <v>446400</v>
      </c>
      <c r="G1642" s="2855">
        <f t="shared" si="359"/>
        <v>2044774</v>
      </c>
      <c r="H1642" s="2838">
        <f t="shared" si="359"/>
        <v>1896485.22</v>
      </c>
      <c r="I1642" s="1769">
        <f t="shared" si="337"/>
        <v>0.92747913461340958</v>
      </c>
    </row>
    <row r="1643" spans="1:9" ht="42" customHeight="1" thickBot="1">
      <c r="A1643" s="1627"/>
      <c r="B1643" s="4785"/>
      <c r="C1643" s="3007" t="s">
        <v>112</v>
      </c>
      <c r="D1643" s="3008" t="s">
        <v>965</v>
      </c>
      <c r="E1643" s="3020">
        <v>2550000</v>
      </c>
      <c r="F1643" s="3020">
        <v>446400</v>
      </c>
      <c r="G1643" s="3021">
        <v>2044774</v>
      </c>
      <c r="H1643" s="3022">
        <v>1896485.22</v>
      </c>
      <c r="I1643" s="1651">
        <f t="shared" si="337"/>
        <v>0.92747913461340958</v>
      </c>
    </row>
    <row r="1644" spans="1:9" ht="17.100000000000001" customHeight="1" thickBot="1">
      <c r="A1644" s="1614"/>
      <c r="B1644" s="1794" t="s">
        <v>1109</v>
      </c>
      <c r="C1644" s="1795"/>
      <c r="D1644" s="1796" t="s">
        <v>646</v>
      </c>
      <c r="E1644" s="1797">
        <f>E1645+E1653</f>
        <v>4239450</v>
      </c>
      <c r="F1644" s="1797">
        <f>F1645+F1653</f>
        <v>2461828</v>
      </c>
      <c r="G1644" s="1934">
        <f t="shared" ref="G1644:H1644" si="360">G1645+G1653</f>
        <v>3005778</v>
      </c>
      <c r="H1644" s="1935">
        <f t="shared" si="360"/>
        <v>3001111.95</v>
      </c>
      <c r="I1644" s="1936">
        <f t="shared" si="337"/>
        <v>0.99844763984565732</v>
      </c>
    </row>
    <row r="1645" spans="1:9" ht="17.100000000000001" customHeight="1">
      <c r="A1645" s="1614"/>
      <c r="B1645" s="1627"/>
      <c r="C1645" s="4633" t="s">
        <v>760</v>
      </c>
      <c r="D1645" s="4633"/>
      <c r="E1645" s="1615">
        <f t="shared" ref="E1645:H1645" si="361">E1646+E1650</f>
        <v>3951450</v>
      </c>
      <c r="F1645" s="1615">
        <f t="shared" si="361"/>
        <v>2461828</v>
      </c>
      <c r="G1645" s="1616">
        <f t="shared" si="361"/>
        <v>2961828</v>
      </c>
      <c r="H1645" s="1617">
        <f t="shared" si="361"/>
        <v>2961828</v>
      </c>
      <c r="I1645" s="1780">
        <f t="shared" si="337"/>
        <v>1</v>
      </c>
    </row>
    <row r="1646" spans="1:9" ht="17.100000000000001" customHeight="1">
      <c r="A1646" s="1614"/>
      <c r="B1646" s="1627"/>
      <c r="C1646" s="4765" t="s">
        <v>761</v>
      </c>
      <c r="D1646" s="4765"/>
      <c r="E1646" s="2837">
        <f t="shared" ref="E1646:H1647" si="362">E1647</f>
        <v>2818900</v>
      </c>
      <c r="F1646" s="2837">
        <f t="shared" si="362"/>
        <v>1359278</v>
      </c>
      <c r="G1646" s="2855">
        <f t="shared" si="362"/>
        <v>1859278</v>
      </c>
      <c r="H1646" s="2838">
        <f t="shared" si="362"/>
        <v>1859278</v>
      </c>
      <c r="I1646" s="1769">
        <f t="shared" si="337"/>
        <v>1</v>
      </c>
    </row>
    <row r="1647" spans="1:9" ht="17.100000000000001" customHeight="1">
      <c r="A1647" s="1614"/>
      <c r="B1647" s="4716"/>
      <c r="C1647" s="4768" t="s">
        <v>769</v>
      </c>
      <c r="D1647" s="4768"/>
      <c r="E1647" s="2854">
        <f t="shared" si="362"/>
        <v>2818900</v>
      </c>
      <c r="F1647" s="2854">
        <f t="shared" si="362"/>
        <v>1359278</v>
      </c>
      <c r="G1647" s="2903">
        <f t="shared" si="362"/>
        <v>1859278</v>
      </c>
      <c r="H1647" s="2856">
        <f t="shared" si="362"/>
        <v>1859278</v>
      </c>
      <c r="I1647" s="1783">
        <f t="shared" si="337"/>
        <v>1</v>
      </c>
    </row>
    <row r="1648" spans="1:9" ht="16.5" customHeight="1">
      <c r="A1648" s="1614"/>
      <c r="B1648" s="4716"/>
      <c r="C1648" s="3023" t="s">
        <v>317</v>
      </c>
      <c r="D1648" s="3024" t="s">
        <v>775</v>
      </c>
      <c r="E1648" s="2837">
        <v>2818900</v>
      </c>
      <c r="F1648" s="2837">
        <v>1359278</v>
      </c>
      <c r="G1648" s="3019">
        <v>1859278</v>
      </c>
      <c r="H1648" s="2838">
        <v>1859278</v>
      </c>
      <c r="I1648" s="1769">
        <f t="shared" si="337"/>
        <v>1</v>
      </c>
    </row>
    <row r="1649" spans="1:12" ht="17.100000000000001" customHeight="1">
      <c r="A1649" s="1614"/>
      <c r="B1649" s="4716"/>
      <c r="C1649" s="1688"/>
      <c r="D1649" s="1688"/>
      <c r="E1649" s="1638"/>
      <c r="F1649" s="1638"/>
      <c r="G1649" s="3019"/>
      <c r="H1649" s="2838"/>
      <c r="I1649" s="1769"/>
    </row>
    <row r="1650" spans="1:12" ht="17.25" customHeight="1">
      <c r="A1650" s="1614"/>
      <c r="B1650" s="4716"/>
      <c r="C1650" s="4780" t="s">
        <v>838</v>
      </c>
      <c r="D1650" s="4780"/>
      <c r="E1650" s="2837">
        <f t="shared" ref="E1650:H1650" si="363">E1651</f>
        <v>1132550</v>
      </c>
      <c r="F1650" s="2837">
        <f t="shared" si="363"/>
        <v>1102550</v>
      </c>
      <c r="G1650" s="2855">
        <f t="shared" si="363"/>
        <v>1102550</v>
      </c>
      <c r="H1650" s="2838">
        <f t="shared" si="363"/>
        <v>1102550</v>
      </c>
      <c r="I1650" s="1769">
        <f t="shared" si="337"/>
        <v>1</v>
      </c>
    </row>
    <row r="1651" spans="1:12" ht="41.25" customHeight="1">
      <c r="A1651" s="1614"/>
      <c r="B1651" s="4716"/>
      <c r="C1651" s="3023" t="s">
        <v>1102</v>
      </c>
      <c r="D1651" s="3024" t="s">
        <v>1103</v>
      </c>
      <c r="E1651" s="2837">
        <v>1132550</v>
      </c>
      <c r="F1651" s="2837">
        <v>1102550</v>
      </c>
      <c r="G1651" s="3019">
        <v>1102550</v>
      </c>
      <c r="H1651" s="2838">
        <v>1102550</v>
      </c>
      <c r="I1651" s="1769">
        <f t="shared" si="337"/>
        <v>1</v>
      </c>
    </row>
    <row r="1652" spans="1:12" ht="15" customHeight="1">
      <c r="A1652" s="1638"/>
      <c r="B1652" s="1638"/>
      <c r="C1652" s="2012"/>
      <c r="D1652" s="1905"/>
      <c r="E1652" s="1661"/>
      <c r="F1652" s="1661"/>
      <c r="G1652" s="3019"/>
      <c r="H1652" s="2838"/>
      <c r="I1652" s="1769"/>
    </row>
    <row r="1653" spans="1:12" ht="17.25" customHeight="1">
      <c r="A1653" s="1638"/>
      <c r="B1653" s="1638"/>
      <c r="C1653" s="4635" t="s">
        <v>793</v>
      </c>
      <c r="D1653" s="4635"/>
      <c r="E1653" s="1615">
        <f>E1654</f>
        <v>288000</v>
      </c>
      <c r="F1653" s="1615">
        <f>F1654</f>
        <v>0</v>
      </c>
      <c r="G1653" s="1616">
        <f t="shared" ref="G1653:H1654" si="364">G1654</f>
        <v>43950</v>
      </c>
      <c r="H1653" s="1617">
        <f t="shared" si="364"/>
        <v>39283.949999999997</v>
      </c>
      <c r="I1653" s="1672">
        <f t="shared" ref="I1653:I1750" si="365">H1653/G1653</f>
        <v>0.89383276450511939</v>
      </c>
    </row>
    <row r="1654" spans="1:12" ht="18" customHeight="1">
      <c r="A1654" s="1614"/>
      <c r="B1654" s="1627"/>
      <c r="C1654" s="4780" t="s">
        <v>908</v>
      </c>
      <c r="D1654" s="4780"/>
      <c r="E1654" s="2837">
        <f>E1655</f>
        <v>288000</v>
      </c>
      <c r="F1654" s="2837">
        <f>F1655</f>
        <v>0</v>
      </c>
      <c r="G1654" s="2855">
        <f t="shared" si="364"/>
        <v>43950</v>
      </c>
      <c r="H1654" s="2838">
        <f t="shared" si="364"/>
        <v>39283.949999999997</v>
      </c>
      <c r="I1654" s="1769">
        <f t="shared" si="365"/>
        <v>0.89383276450511939</v>
      </c>
    </row>
    <row r="1655" spans="1:12" ht="39.75" customHeight="1" thickBot="1">
      <c r="A1655" s="1614"/>
      <c r="B1655" s="1627"/>
      <c r="C1655" s="3025" t="s">
        <v>112</v>
      </c>
      <c r="D1655" s="3026" t="s">
        <v>965</v>
      </c>
      <c r="E1655" s="3027">
        <v>288000</v>
      </c>
      <c r="F1655" s="3027">
        <v>0</v>
      </c>
      <c r="G1655" s="2166">
        <v>43950</v>
      </c>
      <c r="H1655" s="3028">
        <v>39283.949999999997</v>
      </c>
      <c r="I1655" s="1725">
        <f t="shared" si="365"/>
        <v>0.89383276450511939</v>
      </c>
    </row>
    <row r="1656" spans="1:12" ht="17.100000000000001" customHeight="1" thickBot="1">
      <c r="A1656" s="1614"/>
      <c r="B1656" s="3010" t="s">
        <v>1110</v>
      </c>
      <c r="C1656" s="3011"/>
      <c r="D1656" s="3012" t="s">
        <v>1111</v>
      </c>
      <c r="E1656" s="3013">
        <f>E1657+E1665</f>
        <v>3118902</v>
      </c>
      <c r="F1656" s="3013">
        <f>F1657</f>
        <v>250000</v>
      </c>
      <c r="G1656" s="3013">
        <f t="shared" ref="G1656:H1659" si="366">G1657</f>
        <v>250000</v>
      </c>
      <c r="H1656" s="3015">
        <f t="shared" si="366"/>
        <v>0</v>
      </c>
      <c r="I1656" s="3016">
        <f t="shared" si="365"/>
        <v>0</v>
      </c>
    </row>
    <row r="1657" spans="1:12" ht="17.100000000000001" customHeight="1">
      <c r="A1657" s="1614"/>
      <c r="B1657" s="1627"/>
      <c r="C1657" s="4633" t="s">
        <v>760</v>
      </c>
      <c r="D1657" s="4633"/>
      <c r="E1657" s="1615">
        <f t="shared" ref="E1657" si="367">E1658+E1662</f>
        <v>2968901</v>
      </c>
      <c r="F1657" s="1615">
        <f>F1658</f>
        <v>250000</v>
      </c>
      <c r="G1657" s="1615">
        <f t="shared" si="366"/>
        <v>250000</v>
      </c>
      <c r="H1657" s="1617">
        <f t="shared" si="366"/>
        <v>0</v>
      </c>
      <c r="I1657" s="1780">
        <f t="shared" si="365"/>
        <v>0</v>
      </c>
    </row>
    <row r="1658" spans="1:12" ht="17.100000000000001" customHeight="1">
      <c r="A1658" s="1614"/>
      <c r="B1658" s="1627"/>
      <c r="C1658" s="4765" t="s">
        <v>761</v>
      </c>
      <c r="D1658" s="4765"/>
      <c r="E1658" s="2837">
        <f t="shared" ref="E1658:E1659" si="368">E1659</f>
        <v>2818900</v>
      </c>
      <c r="F1658" s="2837">
        <f>F1659</f>
        <v>250000</v>
      </c>
      <c r="G1658" s="2837">
        <f t="shared" si="366"/>
        <v>250000</v>
      </c>
      <c r="H1658" s="2838">
        <f t="shared" si="366"/>
        <v>0</v>
      </c>
      <c r="I1658" s="1769">
        <f t="shared" si="365"/>
        <v>0</v>
      </c>
    </row>
    <row r="1659" spans="1:12" ht="17.100000000000001" customHeight="1">
      <c r="A1659" s="1614"/>
      <c r="B1659" s="1627"/>
      <c r="C1659" s="4768" t="s">
        <v>769</v>
      </c>
      <c r="D1659" s="4768"/>
      <c r="E1659" s="2854">
        <f t="shared" si="368"/>
        <v>2818900</v>
      </c>
      <c r="F1659" s="2854">
        <f>F1660</f>
        <v>250000</v>
      </c>
      <c r="G1659" s="2854">
        <f t="shared" si="366"/>
        <v>250000</v>
      </c>
      <c r="H1659" s="2856">
        <f t="shared" si="366"/>
        <v>0</v>
      </c>
      <c r="I1659" s="1783">
        <f t="shared" si="365"/>
        <v>0</v>
      </c>
    </row>
    <row r="1660" spans="1:12" ht="16.5" customHeight="1">
      <c r="A1660" s="1614"/>
      <c r="B1660" s="1627"/>
      <c r="C1660" s="3023" t="s">
        <v>23</v>
      </c>
      <c r="D1660" s="3024" t="s">
        <v>776</v>
      </c>
      <c r="E1660" s="2837">
        <v>2818900</v>
      </c>
      <c r="F1660" s="2837">
        <v>250000</v>
      </c>
      <c r="G1660" s="2991">
        <v>250000</v>
      </c>
      <c r="H1660" s="2838">
        <v>0</v>
      </c>
      <c r="I1660" s="1769">
        <f t="shared" si="365"/>
        <v>0</v>
      </c>
    </row>
    <row r="1661" spans="1:12" ht="17.100000000000001" customHeight="1" thickBot="1">
      <c r="A1661" s="1645"/>
      <c r="B1661" s="1645"/>
      <c r="C1661" s="1887"/>
      <c r="D1661" s="1887"/>
      <c r="E1661" s="2271"/>
      <c r="F1661" s="2271"/>
      <c r="G1661" s="3029"/>
      <c r="H1661" s="1747"/>
      <c r="I1661" s="1651"/>
    </row>
    <row r="1662" spans="1:12" ht="17.100000000000001" customHeight="1" thickBot="1">
      <c r="A1662" s="1614"/>
      <c r="B1662" s="3010" t="s">
        <v>42</v>
      </c>
      <c r="C1662" s="3011"/>
      <c r="D1662" s="3012" t="s">
        <v>43</v>
      </c>
      <c r="E1662" s="3013">
        <f t="shared" ref="E1662:H1663" si="369">E1663</f>
        <v>150001</v>
      </c>
      <c r="F1662" s="3013">
        <f t="shared" si="369"/>
        <v>150000</v>
      </c>
      <c r="G1662" s="3014">
        <f t="shared" si="369"/>
        <v>150000</v>
      </c>
      <c r="H1662" s="3015">
        <f t="shared" si="369"/>
        <v>111280</v>
      </c>
      <c r="I1662" s="3016">
        <f t="shared" si="365"/>
        <v>0.74186666666666667</v>
      </c>
      <c r="L1662" s="1798"/>
    </row>
    <row r="1663" spans="1:12" ht="17.100000000000001" customHeight="1">
      <c r="A1663" s="1614"/>
      <c r="B1663" s="4687"/>
      <c r="C1663" s="4635" t="s">
        <v>760</v>
      </c>
      <c r="D1663" s="4635"/>
      <c r="E1663" s="1615">
        <f t="shared" si="369"/>
        <v>150001</v>
      </c>
      <c r="F1663" s="1615">
        <f t="shared" si="369"/>
        <v>150000</v>
      </c>
      <c r="G1663" s="1616">
        <f t="shared" si="369"/>
        <v>150000</v>
      </c>
      <c r="H1663" s="1617">
        <f t="shared" si="369"/>
        <v>111280</v>
      </c>
      <c r="I1663" s="1769">
        <f t="shared" si="365"/>
        <v>0.74186666666666667</v>
      </c>
    </row>
    <row r="1664" spans="1:12" ht="17.100000000000001" customHeight="1">
      <c r="A1664" s="1614"/>
      <c r="B1664" s="4687"/>
      <c r="C1664" s="4780" t="s">
        <v>838</v>
      </c>
      <c r="D1664" s="4780"/>
      <c r="E1664" s="2837">
        <f>SUM(E1665:E1665)</f>
        <v>150001</v>
      </c>
      <c r="F1664" s="2837">
        <f t="shared" ref="F1664:H1664" si="370">SUM(F1665:F1665)</f>
        <v>150000</v>
      </c>
      <c r="G1664" s="2855">
        <f t="shared" si="370"/>
        <v>150000</v>
      </c>
      <c r="H1664" s="2838">
        <f t="shared" si="370"/>
        <v>111280</v>
      </c>
      <c r="I1664" s="1769">
        <f t="shared" si="365"/>
        <v>0.74186666666666667</v>
      </c>
    </row>
    <row r="1665" spans="1:9" ht="52.5" customHeight="1" thickBot="1">
      <c r="A1665" s="1627"/>
      <c r="B1665" s="4645"/>
      <c r="C1665" s="3030" t="s">
        <v>44</v>
      </c>
      <c r="D1665" s="3031" t="s">
        <v>850</v>
      </c>
      <c r="E1665" s="3020">
        <v>150001</v>
      </c>
      <c r="F1665" s="3020">
        <v>150000</v>
      </c>
      <c r="G1665" s="3021">
        <v>150000</v>
      </c>
      <c r="H1665" s="3022">
        <v>111280</v>
      </c>
      <c r="I1665" s="1651">
        <f t="shared" si="365"/>
        <v>0.74186666666666667</v>
      </c>
    </row>
    <row r="1666" spans="1:9" ht="17.100000000000001" customHeight="1" thickBot="1">
      <c r="A1666" s="1614"/>
      <c r="B1666" s="1794" t="s">
        <v>45</v>
      </c>
      <c r="C1666" s="1795"/>
      <c r="D1666" s="1796" t="s">
        <v>1112</v>
      </c>
      <c r="E1666" s="1797">
        <f t="shared" ref="E1666" si="371">SUM(E1667)</f>
        <v>357800</v>
      </c>
      <c r="F1666" s="1797">
        <f>SUM(F1667,F1677)</f>
        <v>286500</v>
      </c>
      <c r="G1666" s="1797">
        <f t="shared" ref="G1666:H1666" si="372">SUM(G1667,G1677)</f>
        <v>299200</v>
      </c>
      <c r="H1666" s="1935">
        <f t="shared" si="372"/>
        <v>298258.06</v>
      </c>
      <c r="I1666" s="1936">
        <f t="shared" si="365"/>
        <v>0.9968518048128342</v>
      </c>
    </row>
    <row r="1667" spans="1:9" ht="17.100000000000001" customHeight="1">
      <c r="A1667" s="1614"/>
      <c r="B1667" s="1627"/>
      <c r="C1667" s="4633" t="s">
        <v>760</v>
      </c>
      <c r="D1667" s="4633"/>
      <c r="E1667" s="1615">
        <f>E1668+E1674</f>
        <v>357800</v>
      </c>
      <c r="F1667" s="1615">
        <f t="shared" ref="F1667:H1667" si="373">F1668+F1674</f>
        <v>286500</v>
      </c>
      <c r="G1667" s="1616">
        <f t="shared" si="373"/>
        <v>259200</v>
      </c>
      <c r="H1667" s="1617">
        <f t="shared" si="373"/>
        <v>258258.06</v>
      </c>
      <c r="I1667" s="1780">
        <f>H1667/G1667</f>
        <v>0.99636597222222223</v>
      </c>
    </row>
    <row r="1668" spans="1:9" ht="17.100000000000001" customHeight="1">
      <c r="A1668" s="1614"/>
      <c r="B1668" s="1627"/>
      <c r="C1668" s="4765" t="s">
        <v>761</v>
      </c>
      <c r="D1668" s="4765"/>
      <c r="E1668" s="2837">
        <f t="shared" ref="E1668:H1668" si="374">E1669</f>
        <v>30000</v>
      </c>
      <c r="F1668" s="2837">
        <f t="shared" si="374"/>
        <v>35000</v>
      </c>
      <c r="G1668" s="2855">
        <f t="shared" si="374"/>
        <v>30000</v>
      </c>
      <c r="H1668" s="2838">
        <f t="shared" si="374"/>
        <v>29803.850000000002</v>
      </c>
      <c r="I1668" s="1769">
        <f t="shared" si="365"/>
        <v>0.99346166666666669</v>
      </c>
    </row>
    <row r="1669" spans="1:9" ht="17.100000000000001" customHeight="1">
      <c r="A1669" s="1614"/>
      <c r="B1669" s="1627"/>
      <c r="C1669" s="4768" t="s">
        <v>769</v>
      </c>
      <c r="D1669" s="4768"/>
      <c r="E1669" s="2837">
        <f>SUM(E1670:E1672)</f>
        <v>30000</v>
      </c>
      <c r="F1669" s="2837">
        <f>SUM(F1670:F1672)</f>
        <v>35000</v>
      </c>
      <c r="G1669" s="2855">
        <f t="shared" ref="G1669:H1669" si="375">SUM(G1670:G1672)</f>
        <v>30000</v>
      </c>
      <c r="H1669" s="2838">
        <f t="shared" si="375"/>
        <v>29803.850000000002</v>
      </c>
      <c r="I1669" s="1783">
        <f t="shared" si="365"/>
        <v>0.99346166666666669</v>
      </c>
    </row>
    <row r="1670" spans="1:9" ht="17.100000000000001" customHeight="1">
      <c r="A1670" s="1614"/>
      <c r="B1670" s="1627"/>
      <c r="C1670" s="3032" t="s">
        <v>47</v>
      </c>
      <c r="D1670" s="3033" t="s">
        <v>818</v>
      </c>
      <c r="E1670" s="2837">
        <v>23000</v>
      </c>
      <c r="F1670" s="2837">
        <v>30000</v>
      </c>
      <c r="G1670" s="3019">
        <v>24000</v>
      </c>
      <c r="H1670" s="2838">
        <v>23818.95</v>
      </c>
      <c r="I1670" s="1769">
        <f t="shared" si="365"/>
        <v>0.99245625000000004</v>
      </c>
    </row>
    <row r="1671" spans="1:9">
      <c r="A1671" s="1614"/>
      <c r="B1671" s="1627"/>
      <c r="C1671" s="2983" t="s">
        <v>22</v>
      </c>
      <c r="D1671" s="3034" t="s">
        <v>771</v>
      </c>
      <c r="E1671" s="1661">
        <v>4000</v>
      </c>
      <c r="F1671" s="1661">
        <v>1000</v>
      </c>
      <c r="G1671" s="3019">
        <v>2000</v>
      </c>
      <c r="H1671" s="2838">
        <v>1999.7</v>
      </c>
      <c r="I1671" s="1769">
        <f t="shared" si="365"/>
        <v>0.99985000000000002</v>
      </c>
    </row>
    <row r="1672" spans="1:9">
      <c r="A1672" s="1614"/>
      <c r="B1672" s="1627"/>
      <c r="C1672" s="2916" t="s">
        <v>23</v>
      </c>
      <c r="D1672" s="1905" t="s">
        <v>776</v>
      </c>
      <c r="E1672" s="1661">
        <v>3000</v>
      </c>
      <c r="F1672" s="1661">
        <v>4000</v>
      </c>
      <c r="G1672" s="3019">
        <v>4000</v>
      </c>
      <c r="H1672" s="2838">
        <v>3985.2</v>
      </c>
      <c r="I1672" s="1769">
        <f t="shared" si="365"/>
        <v>0.99629999999999996</v>
      </c>
    </row>
    <row r="1673" spans="1:9" ht="17.100000000000001" customHeight="1">
      <c r="A1673" s="1614"/>
      <c r="B1673" s="1627"/>
      <c r="C1673" s="2492"/>
      <c r="D1673" s="1688"/>
      <c r="E1673" s="1638"/>
      <c r="F1673" s="1638"/>
      <c r="G1673" s="3019"/>
      <c r="H1673" s="2838"/>
      <c r="I1673" s="1769"/>
    </row>
    <row r="1674" spans="1:9" ht="17.100000000000001" customHeight="1">
      <c r="A1674" s="1614"/>
      <c r="B1674" s="1627"/>
      <c r="C1674" s="4776" t="s">
        <v>838</v>
      </c>
      <c r="D1674" s="4777"/>
      <c r="E1674" s="3035">
        <f t="shared" ref="E1674:H1674" si="376">SUM(E1675:E1675)</f>
        <v>327800</v>
      </c>
      <c r="F1674" s="3035">
        <f t="shared" si="376"/>
        <v>251500</v>
      </c>
      <c r="G1674" s="3036">
        <f t="shared" si="376"/>
        <v>229200</v>
      </c>
      <c r="H1674" s="3037">
        <f t="shared" si="376"/>
        <v>228454.21</v>
      </c>
      <c r="I1674" s="1769">
        <f t="shared" si="365"/>
        <v>0.99674611692844672</v>
      </c>
    </row>
    <row r="1675" spans="1:9" ht="51.75" customHeight="1">
      <c r="A1675" s="1614"/>
      <c r="B1675" s="1627"/>
      <c r="C1675" s="2841" t="s">
        <v>44</v>
      </c>
      <c r="D1675" s="2851" t="s">
        <v>850</v>
      </c>
      <c r="E1675" s="2837">
        <v>327800</v>
      </c>
      <c r="F1675" s="2837">
        <v>251500</v>
      </c>
      <c r="G1675" s="2789">
        <v>229200</v>
      </c>
      <c r="H1675" s="2838">
        <v>228454.21</v>
      </c>
      <c r="I1675" s="1769">
        <f t="shared" si="365"/>
        <v>0.99674611692844672</v>
      </c>
    </row>
    <row r="1676" spans="1:9">
      <c r="A1676" s="1638"/>
      <c r="B1676" s="1638"/>
      <c r="C1676" s="2971"/>
      <c r="D1676" s="3038"/>
      <c r="E1676" s="2837"/>
      <c r="F1676" s="2837"/>
      <c r="G1676" s="3039"/>
      <c r="H1676" s="2838"/>
      <c r="I1676" s="2813"/>
    </row>
    <row r="1677" spans="1:9" ht="12.75" customHeight="1">
      <c r="A1677" s="1638"/>
      <c r="B1677" s="1638"/>
      <c r="C1677" s="4744" t="s">
        <v>793</v>
      </c>
      <c r="D1677" s="4635"/>
      <c r="E1677" s="3040">
        <f>E1678</f>
        <v>288000</v>
      </c>
      <c r="F1677" s="3040">
        <f>F1678</f>
        <v>0</v>
      </c>
      <c r="G1677" s="2669">
        <f t="shared" ref="G1677:H1677" si="377">G1678</f>
        <v>40000</v>
      </c>
      <c r="H1677" s="3041">
        <f t="shared" si="377"/>
        <v>40000</v>
      </c>
      <c r="I1677" s="1780">
        <f t="shared" si="365"/>
        <v>1</v>
      </c>
    </row>
    <row r="1678" spans="1:9" ht="16.5" customHeight="1">
      <c r="A1678" s="1638"/>
      <c r="B1678" s="1627"/>
      <c r="C1678" s="4778" t="s">
        <v>908</v>
      </c>
      <c r="D1678" s="4779"/>
      <c r="E1678" s="2837">
        <f>E1680</f>
        <v>288000</v>
      </c>
      <c r="F1678" s="2837">
        <f>SUM(F1679:F1680)</f>
        <v>0</v>
      </c>
      <c r="G1678" s="2837">
        <f t="shared" ref="G1678:H1678" si="378">SUM(G1679:G1680)</f>
        <v>40000</v>
      </c>
      <c r="H1678" s="2838">
        <f t="shared" si="378"/>
        <v>40000</v>
      </c>
      <c r="I1678" s="1769">
        <f t="shared" si="365"/>
        <v>1</v>
      </c>
    </row>
    <row r="1679" spans="1:9" ht="38.25" hidden="1" customHeight="1" thickBot="1">
      <c r="A1679" s="1614"/>
      <c r="B1679" s="1627"/>
      <c r="C1679" s="3042" t="s">
        <v>112</v>
      </c>
      <c r="D1679" s="2111" t="s">
        <v>965</v>
      </c>
      <c r="E1679" s="2837"/>
      <c r="F1679" s="2837">
        <v>0</v>
      </c>
      <c r="G1679" s="3039">
        <v>0</v>
      </c>
      <c r="H1679" s="2838">
        <v>0</v>
      </c>
      <c r="I1679" s="1769" t="e">
        <f t="shared" si="365"/>
        <v>#DIV/0!</v>
      </c>
    </row>
    <row r="1680" spans="1:9" ht="42.75" customHeight="1" thickBot="1">
      <c r="A1680" s="1638"/>
      <c r="B1680" s="1645"/>
      <c r="C1680" s="3042" t="s">
        <v>25</v>
      </c>
      <c r="D1680" s="2111" t="s">
        <v>1113</v>
      </c>
      <c r="E1680" s="1814">
        <v>288000</v>
      </c>
      <c r="F1680" s="1814">
        <v>0</v>
      </c>
      <c r="G1680" s="1902">
        <v>40000</v>
      </c>
      <c r="H1680" s="1815">
        <v>40000</v>
      </c>
      <c r="I1680" s="1651">
        <f t="shared" si="365"/>
        <v>1</v>
      </c>
    </row>
    <row r="1681" spans="1:9" ht="30" customHeight="1" thickBot="1">
      <c r="A1681" s="1638"/>
      <c r="B1681" s="3010" t="s">
        <v>281</v>
      </c>
      <c r="C1681" s="3011"/>
      <c r="D1681" s="3012" t="s">
        <v>282</v>
      </c>
      <c r="E1681" s="3013">
        <f t="shared" ref="E1681:H1684" si="379">E1682</f>
        <v>25000</v>
      </c>
      <c r="F1681" s="3013">
        <f t="shared" si="379"/>
        <v>25000</v>
      </c>
      <c r="G1681" s="3014">
        <f t="shared" si="379"/>
        <v>11610</v>
      </c>
      <c r="H1681" s="3015">
        <f t="shared" si="379"/>
        <v>11048.4</v>
      </c>
      <c r="I1681" s="3016">
        <f t="shared" si="365"/>
        <v>0.95162790697674415</v>
      </c>
    </row>
    <row r="1682" spans="1:9" ht="17.100000000000001" customHeight="1">
      <c r="A1682" s="1614"/>
      <c r="B1682" s="4687"/>
      <c r="C1682" s="4633" t="s">
        <v>760</v>
      </c>
      <c r="D1682" s="4633"/>
      <c r="E1682" s="1615">
        <f t="shared" si="379"/>
        <v>25000</v>
      </c>
      <c r="F1682" s="1615">
        <f t="shared" si="379"/>
        <v>25000</v>
      </c>
      <c r="G1682" s="1616">
        <f t="shared" si="379"/>
        <v>11610</v>
      </c>
      <c r="H1682" s="1617">
        <f t="shared" si="379"/>
        <v>11048.4</v>
      </c>
      <c r="I1682" s="1780">
        <f t="shared" si="365"/>
        <v>0.95162790697674415</v>
      </c>
    </row>
    <row r="1683" spans="1:9" ht="17.100000000000001" customHeight="1">
      <c r="A1683" s="1614"/>
      <c r="B1683" s="4687"/>
      <c r="C1683" s="4765" t="s">
        <v>761</v>
      </c>
      <c r="D1683" s="4765"/>
      <c r="E1683" s="2837">
        <f t="shared" si="379"/>
        <v>25000</v>
      </c>
      <c r="F1683" s="2837">
        <f t="shared" si="379"/>
        <v>25000</v>
      </c>
      <c r="G1683" s="2855">
        <f t="shared" si="379"/>
        <v>11610</v>
      </c>
      <c r="H1683" s="2838">
        <f t="shared" si="379"/>
        <v>11048.4</v>
      </c>
      <c r="I1683" s="1769">
        <f t="shared" si="365"/>
        <v>0.95162790697674415</v>
      </c>
    </row>
    <row r="1684" spans="1:9" ht="17.100000000000001" customHeight="1">
      <c r="A1684" s="1614"/>
      <c r="B1684" s="4687"/>
      <c r="C1684" s="4768" t="s">
        <v>769</v>
      </c>
      <c r="D1684" s="4768"/>
      <c r="E1684" s="2837">
        <f t="shared" si="379"/>
        <v>25000</v>
      </c>
      <c r="F1684" s="2837">
        <f t="shared" si="379"/>
        <v>25000</v>
      </c>
      <c r="G1684" s="2855">
        <f t="shared" si="379"/>
        <v>11610</v>
      </c>
      <c r="H1684" s="2838">
        <f t="shared" si="379"/>
        <v>11048.4</v>
      </c>
      <c r="I1684" s="1769">
        <f t="shared" si="365"/>
        <v>0.95162790697674415</v>
      </c>
    </row>
    <row r="1685" spans="1:9" ht="17.100000000000001" customHeight="1" thickBot="1">
      <c r="A1685" s="1645"/>
      <c r="B1685" s="4645"/>
      <c r="C1685" s="3030" t="s">
        <v>330</v>
      </c>
      <c r="D1685" s="3031" t="s">
        <v>1114</v>
      </c>
      <c r="E1685" s="3020">
        <v>25000</v>
      </c>
      <c r="F1685" s="3020">
        <v>25000</v>
      </c>
      <c r="G1685" s="3021">
        <v>11610</v>
      </c>
      <c r="H1685" s="3022">
        <v>11048.4</v>
      </c>
      <c r="I1685" s="1651">
        <f t="shared" si="365"/>
        <v>0.95162790697674415</v>
      </c>
    </row>
    <row r="1686" spans="1:9" s="3051" customFormat="1" ht="22.5" customHeight="1" thickBot="1">
      <c r="A1686" s="3043"/>
      <c r="B1686" s="3044" t="s">
        <v>283</v>
      </c>
      <c r="C1686" s="3045"/>
      <c r="D1686" s="3046" t="s">
        <v>652</v>
      </c>
      <c r="E1686" s="3047">
        <f t="shared" ref="E1686:F1688" si="380">E1687</f>
        <v>0</v>
      </c>
      <c r="F1686" s="3047">
        <f t="shared" si="380"/>
        <v>0</v>
      </c>
      <c r="G1686" s="3048">
        <f>G1687</f>
        <v>14653338</v>
      </c>
      <c r="H1686" s="3049">
        <f>H1687</f>
        <v>13905656.619999999</v>
      </c>
      <c r="I1686" s="3050">
        <f t="shared" si="365"/>
        <v>0.948975354284464</v>
      </c>
    </row>
    <row r="1687" spans="1:9" s="3051" customFormat="1" ht="18" customHeight="1">
      <c r="A1687" s="3052"/>
      <c r="B1687" s="4769"/>
      <c r="C1687" s="4770" t="s">
        <v>760</v>
      </c>
      <c r="D1687" s="4770"/>
      <c r="E1687" s="3053">
        <f t="shared" si="380"/>
        <v>0</v>
      </c>
      <c r="F1687" s="3054">
        <f t="shared" si="380"/>
        <v>0</v>
      </c>
      <c r="G1687" s="3054">
        <f>G1688</f>
        <v>14653338</v>
      </c>
      <c r="H1687" s="3055">
        <f>H1688</f>
        <v>13905656.619999999</v>
      </c>
      <c r="I1687" s="3056">
        <f t="shared" si="365"/>
        <v>0.948975354284464</v>
      </c>
    </row>
    <row r="1688" spans="1:9" s="3051" customFormat="1" ht="17.25" customHeight="1">
      <c r="A1688" s="3052"/>
      <c r="B1688" s="4769"/>
      <c r="C1688" s="4771" t="s">
        <v>761</v>
      </c>
      <c r="D1688" s="4771"/>
      <c r="E1688" s="3057">
        <f t="shared" si="380"/>
        <v>0</v>
      </c>
      <c r="F1688" s="3057">
        <f t="shared" si="380"/>
        <v>0</v>
      </c>
      <c r="G1688" s="3058">
        <f>G1689+G1693</f>
        <v>14653338</v>
      </c>
      <c r="H1688" s="3058">
        <f>H1689+H1693</f>
        <v>13905656.619999999</v>
      </c>
      <c r="I1688" s="3059">
        <f t="shared" si="365"/>
        <v>0.948975354284464</v>
      </c>
    </row>
    <row r="1689" spans="1:9" s="3051" customFormat="1" ht="16.5" customHeight="1">
      <c r="A1689" s="3052"/>
      <c r="B1689" s="4769"/>
      <c r="C1689" s="4772" t="s">
        <v>762</v>
      </c>
      <c r="D1689" s="4773"/>
      <c r="E1689" s="4774"/>
      <c r="F1689" s="3057">
        <f>SUM(F1690:F1692)</f>
        <v>0</v>
      </c>
      <c r="G1689" s="3057">
        <f>SUM(G1690:G1692)</f>
        <v>48708</v>
      </c>
      <c r="H1689" s="3058">
        <f>SUM(H1690:H1692)</f>
        <v>48708</v>
      </c>
      <c r="I1689" s="3059">
        <f t="shared" si="365"/>
        <v>1</v>
      </c>
    </row>
    <row r="1690" spans="1:9" s="3051" customFormat="1" ht="18.75" customHeight="1">
      <c r="A1690" s="3052"/>
      <c r="B1690" s="4769"/>
      <c r="C1690" s="3060" t="s">
        <v>61</v>
      </c>
      <c r="D1690" s="3061" t="s">
        <v>763</v>
      </c>
      <c r="E1690" s="3062">
        <v>25000</v>
      </c>
      <c r="F1690" s="3062">
        <v>0</v>
      </c>
      <c r="G1690" s="3062">
        <v>40712</v>
      </c>
      <c r="H1690" s="3063">
        <v>40712</v>
      </c>
      <c r="I1690" s="3059">
        <f t="shared" si="365"/>
        <v>1</v>
      </c>
    </row>
    <row r="1691" spans="1:9" s="3051" customFormat="1" ht="17.25" customHeight="1">
      <c r="A1691" s="3052"/>
      <c r="B1691" s="4769"/>
      <c r="C1691" s="3060" t="s">
        <v>62</v>
      </c>
      <c r="D1691" s="3061" t="s">
        <v>1115</v>
      </c>
      <c r="E1691" s="3062">
        <v>25000</v>
      </c>
      <c r="F1691" s="3062">
        <v>0</v>
      </c>
      <c r="G1691" s="3062">
        <v>6998</v>
      </c>
      <c r="H1691" s="3063">
        <v>6998</v>
      </c>
      <c r="I1691" s="3059">
        <f t="shared" si="365"/>
        <v>1</v>
      </c>
    </row>
    <row r="1692" spans="1:9" s="3051" customFormat="1" ht="16.5" customHeight="1">
      <c r="A1692" s="3052"/>
      <c r="B1692" s="4769"/>
      <c r="C1692" s="3060" t="s">
        <v>63</v>
      </c>
      <c r="D1692" s="3061" t="s">
        <v>1116</v>
      </c>
      <c r="E1692" s="3062">
        <v>25000</v>
      </c>
      <c r="F1692" s="3062">
        <v>0</v>
      </c>
      <c r="G1692" s="3062">
        <v>998</v>
      </c>
      <c r="H1692" s="3063">
        <v>998</v>
      </c>
      <c r="I1692" s="3059">
        <f t="shared" si="365"/>
        <v>1</v>
      </c>
    </row>
    <row r="1693" spans="1:9" s="3051" customFormat="1" ht="15" customHeight="1">
      <c r="A1693" s="3052"/>
      <c r="B1693" s="4769"/>
      <c r="C1693" s="4775" t="s">
        <v>769</v>
      </c>
      <c r="D1693" s="4775"/>
      <c r="E1693" s="3062"/>
      <c r="F1693" s="3062">
        <f>F1694</f>
        <v>0</v>
      </c>
      <c r="G1693" s="3062">
        <f>G1694</f>
        <v>14604630</v>
      </c>
      <c r="H1693" s="3063">
        <f>H1694</f>
        <v>13856948.619999999</v>
      </c>
      <c r="I1693" s="3064">
        <f t="shared" si="365"/>
        <v>0.94880518164445105</v>
      </c>
    </row>
    <row r="1694" spans="1:9" s="3051" customFormat="1" ht="24.75" customHeight="1" thickBot="1">
      <c r="A1694" s="3052"/>
      <c r="B1694" s="4769"/>
      <c r="C1694" s="3060" t="s">
        <v>331</v>
      </c>
      <c r="D1694" s="3061" t="s">
        <v>284</v>
      </c>
      <c r="E1694" s="3062">
        <v>25000</v>
      </c>
      <c r="F1694" s="3065">
        <v>0</v>
      </c>
      <c r="G1694" s="3065">
        <v>14604630</v>
      </c>
      <c r="H1694" s="3066">
        <v>13856948.619999999</v>
      </c>
      <c r="I1694" s="3067">
        <f t="shared" si="365"/>
        <v>0.94880518164445105</v>
      </c>
    </row>
    <row r="1695" spans="1:9" ht="17.100000000000001" customHeight="1" thickBot="1">
      <c r="A1695" s="1614"/>
      <c r="B1695" s="3010" t="s">
        <v>285</v>
      </c>
      <c r="C1695" s="3011"/>
      <c r="D1695" s="3012" t="s">
        <v>95</v>
      </c>
      <c r="E1695" s="3013">
        <f>SUM(E1696)</f>
        <v>82361</v>
      </c>
      <c r="F1695" s="3013">
        <f>F1696+F1715</f>
        <v>47880</v>
      </c>
      <c r="G1695" s="3013">
        <f>G1696+G1715</f>
        <v>23337374</v>
      </c>
      <c r="H1695" s="3015">
        <f>H1696+H1715</f>
        <v>18157857.48</v>
      </c>
      <c r="I1695" s="3016">
        <f t="shared" si="365"/>
        <v>0.77805915438472217</v>
      </c>
    </row>
    <row r="1696" spans="1:9" ht="17.100000000000001" customHeight="1">
      <c r="A1696" s="1614"/>
      <c r="B1696" s="1684"/>
      <c r="C1696" s="4633" t="s">
        <v>760</v>
      </c>
      <c r="D1696" s="4633"/>
      <c r="E1696" s="1615">
        <f>E1697+E1704</f>
        <v>82361</v>
      </c>
      <c r="F1696" s="1615">
        <f>F1697+F1704+F1708</f>
        <v>47880</v>
      </c>
      <c r="G1696" s="1615">
        <f t="shared" ref="G1696:H1696" si="381">G1697+G1704+G1708</f>
        <v>4178442</v>
      </c>
      <c r="H1696" s="1617">
        <f t="shared" si="381"/>
        <v>3210553.7</v>
      </c>
      <c r="I1696" s="1780">
        <f t="shared" si="365"/>
        <v>0.76836143710981275</v>
      </c>
    </row>
    <row r="1697" spans="1:9" ht="17.100000000000001" customHeight="1">
      <c r="A1697" s="1614"/>
      <c r="B1697" s="1627"/>
      <c r="C1697" s="4765" t="s">
        <v>761</v>
      </c>
      <c r="D1697" s="4765"/>
      <c r="E1697" s="3068">
        <f t="shared" ref="E1697:H1697" si="382">E1698+E1701</f>
        <v>72562</v>
      </c>
      <c r="F1697" s="3068">
        <f t="shared" si="382"/>
        <v>47880</v>
      </c>
      <c r="G1697" s="3069">
        <f t="shared" si="382"/>
        <v>67280</v>
      </c>
      <c r="H1697" s="3070">
        <f t="shared" si="382"/>
        <v>48620.49</v>
      </c>
      <c r="I1697" s="1769">
        <f t="shared" si="365"/>
        <v>0.7226588882282996</v>
      </c>
    </row>
    <row r="1698" spans="1:9" ht="17.100000000000001" customHeight="1">
      <c r="A1698" s="1614"/>
      <c r="B1698" s="1627"/>
      <c r="C1698" s="4766" t="s">
        <v>762</v>
      </c>
      <c r="D1698" s="4766"/>
      <c r="E1698" s="3071">
        <f t="shared" ref="E1698:H1698" si="383">SUM(E1699:E1699)</f>
        <v>62562</v>
      </c>
      <c r="F1698" s="3071">
        <f t="shared" si="383"/>
        <v>43080</v>
      </c>
      <c r="G1698" s="3072">
        <f t="shared" si="383"/>
        <v>50280</v>
      </c>
      <c r="H1698" s="3073">
        <f t="shared" si="383"/>
        <v>34400</v>
      </c>
      <c r="I1698" s="1769">
        <f t="shared" si="365"/>
        <v>0.68416865552903738</v>
      </c>
    </row>
    <row r="1699" spans="1:9" ht="17.100000000000001" customHeight="1">
      <c r="A1699" s="1614"/>
      <c r="B1699" s="1627"/>
      <c r="C1699" s="3074" t="s">
        <v>324</v>
      </c>
      <c r="D1699" s="3075" t="s">
        <v>767</v>
      </c>
      <c r="E1699" s="3076">
        <v>62562</v>
      </c>
      <c r="F1699" s="3076">
        <v>43080</v>
      </c>
      <c r="G1699" s="3019">
        <v>50280</v>
      </c>
      <c r="H1699" s="3073">
        <v>34400</v>
      </c>
      <c r="I1699" s="1769">
        <f t="shared" si="365"/>
        <v>0.68416865552903738</v>
      </c>
    </row>
    <row r="1700" spans="1:9" ht="17.100000000000001" customHeight="1">
      <c r="A1700" s="1614"/>
      <c r="B1700" s="1627"/>
      <c r="C1700" s="1876"/>
      <c r="D1700" s="1877"/>
      <c r="E1700" s="1878"/>
      <c r="F1700" s="1878"/>
      <c r="G1700" s="3019"/>
      <c r="H1700" s="3073"/>
      <c r="I1700" s="1769"/>
    </row>
    <row r="1701" spans="1:9" ht="17.100000000000001" customHeight="1">
      <c r="A1701" s="1614"/>
      <c r="B1701" s="1627"/>
      <c r="C1701" s="4678" t="s">
        <v>769</v>
      </c>
      <c r="D1701" s="4678"/>
      <c r="E1701" s="1668">
        <f>SUM(E1702:E1702)</f>
        <v>10000</v>
      </c>
      <c r="F1701" s="1668">
        <f t="shared" ref="F1701:H1701" si="384">SUM(F1702:F1702)</f>
        <v>4800</v>
      </c>
      <c r="G1701" s="2134">
        <f t="shared" si="384"/>
        <v>17000</v>
      </c>
      <c r="H1701" s="1818">
        <f t="shared" si="384"/>
        <v>14220.49</v>
      </c>
      <c r="I1701" s="1769">
        <f t="shared" si="365"/>
        <v>0.83649941176470588</v>
      </c>
    </row>
    <row r="1702" spans="1:9" ht="16.5" customHeight="1">
      <c r="A1702" s="1614"/>
      <c r="B1702" s="1627"/>
      <c r="C1702" s="3077" t="s">
        <v>23</v>
      </c>
      <c r="D1702" s="3078" t="s">
        <v>776</v>
      </c>
      <c r="E1702" s="3071">
        <v>10000</v>
      </c>
      <c r="F1702" s="3071">
        <v>4800</v>
      </c>
      <c r="G1702" s="3019">
        <v>17000</v>
      </c>
      <c r="H1702" s="3073">
        <v>14220.49</v>
      </c>
      <c r="I1702" s="1769">
        <f t="shared" si="365"/>
        <v>0.83649941176470588</v>
      </c>
    </row>
    <row r="1703" spans="1:9" ht="18" customHeight="1">
      <c r="A1703" s="1638"/>
      <c r="B1703" s="1638"/>
      <c r="C1703" s="4759"/>
      <c r="D1703" s="4767"/>
      <c r="E1703" s="3071"/>
      <c r="F1703" s="3071"/>
      <c r="G1703" s="3019"/>
      <c r="H1703" s="3073"/>
      <c r="I1703" s="3079"/>
    </row>
    <row r="1704" spans="1:9" ht="17.100000000000001" customHeight="1">
      <c r="A1704" s="1638"/>
      <c r="B1704" s="1638"/>
      <c r="C1704" s="4622" t="s">
        <v>838</v>
      </c>
      <c r="D1704" s="4739"/>
      <c r="E1704" s="1661">
        <f>E1705</f>
        <v>9799</v>
      </c>
      <c r="F1704" s="1661">
        <f>SUM(F1705:F1706)</f>
        <v>0</v>
      </c>
      <c r="G1704" s="1661">
        <f t="shared" ref="G1704:H1704" si="385">SUM(G1705:G1706)</f>
        <v>14859</v>
      </c>
      <c r="H1704" s="1663">
        <f t="shared" si="385"/>
        <v>14846.2</v>
      </c>
      <c r="I1704" s="1769">
        <f t="shared" si="365"/>
        <v>0.99913856921730937</v>
      </c>
    </row>
    <row r="1705" spans="1:9" ht="42" customHeight="1">
      <c r="A1705" s="1614"/>
      <c r="B1705" s="1627"/>
      <c r="C1705" s="3077" t="s">
        <v>44</v>
      </c>
      <c r="D1705" s="3078" t="s">
        <v>1117</v>
      </c>
      <c r="E1705" s="3071">
        <v>9799</v>
      </c>
      <c r="F1705" s="3071">
        <v>0</v>
      </c>
      <c r="G1705" s="3019">
        <v>10000</v>
      </c>
      <c r="H1705" s="3073">
        <v>10000</v>
      </c>
      <c r="I1705" s="3079">
        <f t="shared" si="365"/>
        <v>1</v>
      </c>
    </row>
    <row r="1706" spans="1:9" ht="36.75" customHeight="1">
      <c r="A1706" s="1614"/>
      <c r="B1706" s="1627"/>
      <c r="C1706" s="3080" t="s">
        <v>1102</v>
      </c>
      <c r="D1706" s="3081" t="s">
        <v>1118</v>
      </c>
      <c r="E1706" s="3071"/>
      <c r="F1706" s="3071">
        <v>0</v>
      </c>
      <c r="G1706" s="3082">
        <v>4859</v>
      </c>
      <c r="H1706" s="3073">
        <v>4846.2</v>
      </c>
      <c r="I1706" s="3079">
        <f t="shared" si="365"/>
        <v>0.99736571310969335</v>
      </c>
    </row>
    <row r="1707" spans="1:9" ht="12.75" customHeight="1" thickBot="1">
      <c r="A1707" s="1644"/>
      <c r="B1707" s="1645"/>
      <c r="C1707" s="2772"/>
      <c r="D1707" s="2929"/>
      <c r="E1707" s="1814"/>
      <c r="F1707" s="1814"/>
      <c r="G1707" s="2532"/>
      <c r="H1707" s="1815"/>
      <c r="I1707" s="1651"/>
    </row>
    <row r="1708" spans="1:9" ht="26.25" customHeight="1">
      <c r="A1708" s="1614"/>
      <c r="B1708" s="1627"/>
      <c r="C1708" s="4622" t="s">
        <v>801</v>
      </c>
      <c r="D1708" s="4739"/>
      <c r="E1708" s="1661"/>
      <c r="F1708" s="1661">
        <f>SUM(F1709:F1713)</f>
        <v>0</v>
      </c>
      <c r="G1708" s="1661">
        <f>SUM(G1709:G1713)</f>
        <v>4096303</v>
      </c>
      <c r="H1708" s="1663">
        <f t="shared" ref="H1708" si="386">SUM(H1709:H1713)</f>
        <v>3147087.0100000002</v>
      </c>
      <c r="I1708" s="1769">
        <f t="shared" si="365"/>
        <v>0.76827495671096602</v>
      </c>
    </row>
    <row r="1709" spans="1:9" ht="66.75" customHeight="1">
      <c r="A1709" s="1614"/>
      <c r="B1709" s="1627"/>
      <c r="C1709" s="3083" t="s">
        <v>535</v>
      </c>
      <c r="D1709" s="3084" t="s">
        <v>856</v>
      </c>
      <c r="E1709" s="3071"/>
      <c r="F1709" s="3071">
        <v>0</v>
      </c>
      <c r="G1709" s="3019">
        <v>4011820</v>
      </c>
      <c r="H1709" s="3073">
        <v>3121348.56</v>
      </c>
      <c r="I1709" s="1769">
        <f t="shared" si="365"/>
        <v>0.77803803759889523</v>
      </c>
    </row>
    <row r="1710" spans="1:9" ht="66.75" customHeight="1">
      <c r="A1710" s="1614"/>
      <c r="B1710" s="1627"/>
      <c r="C1710" s="3085" t="s">
        <v>495</v>
      </c>
      <c r="D1710" s="3086" t="s">
        <v>898</v>
      </c>
      <c r="E1710" s="3082"/>
      <c r="F1710" s="3071">
        <v>0</v>
      </c>
      <c r="G1710" s="3082">
        <v>4215</v>
      </c>
      <c r="H1710" s="3073">
        <v>4214.6499999999996</v>
      </c>
      <c r="I1710" s="1769">
        <f t="shared" si="365"/>
        <v>0.99991696322657164</v>
      </c>
    </row>
    <row r="1711" spans="1:9" ht="30.75" customHeight="1">
      <c r="A1711" s="1614"/>
      <c r="B1711" s="1627"/>
      <c r="C1711" s="3085" t="s">
        <v>675</v>
      </c>
      <c r="D1711" s="3086" t="s">
        <v>858</v>
      </c>
      <c r="E1711" s="3082"/>
      <c r="F1711" s="3071">
        <v>0</v>
      </c>
      <c r="G1711" s="3082">
        <v>18458</v>
      </c>
      <c r="H1711" s="3073">
        <v>18457.2</v>
      </c>
      <c r="I1711" s="1769">
        <f t="shared" si="365"/>
        <v>0.99995665835951897</v>
      </c>
    </row>
    <row r="1712" spans="1:9" ht="27.75" customHeight="1">
      <c r="A1712" s="1614"/>
      <c r="B1712" s="1627"/>
      <c r="C1712" s="3085" t="s">
        <v>863</v>
      </c>
      <c r="D1712" s="3086" t="s">
        <v>771</v>
      </c>
      <c r="E1712" s="3082"/>
      <c r="F1712" s="3071">
        <v>0</v>
      </c>
      <c r="G1712" s="3082">
        <v>61750</v>
      </c>
      <c r="H1712" s="3073">
        <v>3009.6</v>
      </c>
      <c r="I1712" s="1769">
        <f t="shared" si="365"/>
        <v>4.8738461538461536E-2</v>
      </c>
    </row>
    <row r="1713" spans="1:9" ht="66.75" customHeight="1">
      <c r="A1713" s="1614"/>
      <c r="B1713" s="1627"/>
      <c r="C1713" s="3085" t="s">
        <v>832</v>
      </c>
      <c r="D1713" s="3086" t="s">
        <v>833</v>
      </c>
      <c r="E1713" s="3082"/>
      <c r="F1713" s="3071">
        <v>0</v>
      </c>
      <c r="G1713" s="3082">
        <v>60</v>
      </c>
      <c r="H1713" s="3073">
        <v>57</v>
      </c>
      <c r="I1713" s="1769">
        <f t="shared" si="365"/>
        <v>0.95</v>
      </c>
    </row>
    <row r="1714" spans="1:9">
      <c r="A1714" s="1614"/>
      <c r="B1714" s="1627"/>
      <c r="C1714" s="4759"/>
      <c r="D1714" s="4760"/>
      <c r="E1714" s="3019"/>
      <c r="F1714" s="3071"/>
      <c r="G1714" s="3071"/>
      <c r="H1714" s="3073"/>
      <c r="I1714" s="3087"/>
    </row>
    <row r="1715" spans="1:9" ht="21.75" customHeight="1">
      <c r="A1715" s="1614"/>
      <c r="B1715" s="1627"/>
      <c r="C1715" s="4761" t="s">
        <v>793</v>
      </c>
      <c r="D1715" s="4762"/>
      <c r="E1715" s="3088"/>
      <c r="F1715" s="3089">
        <f>F1716</f>
        <v>0</v>
      </c>
      <c r="G1715" s="3089">
        <f t="shared" ref="G1715:H1715" si="387">G1716</f>
        <v>19158932</v>
      </c>
      <c r="H1715" s="3090">
        <f t="shared" si="387"/>
        <v>14947303.780000001</v>
      </c>
      <c r="I1715" s="3091">
        <f t="shared" si="365"/>
        <v>0.78017416524052596</v>
      </c>
    </row>
    <row r="1716" spans="1:9" ht="18.75" customHeight="1">
      <c r="A1716" s="4716"/>
      <c r="B1716" s="1638"/>
      <c r="C1716" s="4763" t="s">
        <v>908</v>
      </c>
      <c r="D1716" s="4764"/>
      <c r="E1716" s="3019"/>
      <c r="F1716" s="3071">
        <f>SUM(F1717:F1718)</f>
        <v>0</v>
      </c>
      <c r="G1716" s="3071">
        <f t="shared" ref="G1716:H1716" si="388">SUM(G1717:G1718)</f>
        <v>19158932</v>
      </c>
      <c r="H1716" s="3073">
        <f t="shared" si="388"/>
        <v>14947303.780000001</v>
      </c>
      <c r="I1716" s="3091">
        <f t="shared" si="365"/>
        <v>0.78017416524052596</v>
      </c>
    </row>
    <row r="1717" spans="1:9" ht="61.5" customHeight="1">
      <c r="A1717" s="4716"/>
      <c r="B1717" s="1638"/>
      <c r="C1717" s="3092" t="s">
        <v>870</v>
      </c>
      <c r="D1717" s="3093" t="s">
        <v>877</v>
      </c>
      <c r="E1717" s="1661"/>
      <c r="F1717" s="1661">
        <v>0</v>
      </c>
      <c r="G1717" s="1661">
        <v>17408354</v>
      </c>
      <c r="H1717" s="1663">
        <v>13196726.57</v>
      </c>
      <c r="I1717" s="2022">
        <f t="shared" si="365"/>
        <v>0.75806860143124388</v>
      </c>
    </row>
    <row r="1718" spans="1:9" ht="26.25" customHeight="1">
      <c r="A1718" s="1614"/>
      <c r="B1718" s="1627"/>
      <c r="C1718" s="3080" t="s">
        <v>878</v>
      </c>
      <c r="D1718" s="3081" t="s">
        <v>967</v>
      </c>
      <c r="E1718" s="3071"/>
      <c r="F1718" s="3071">
        <v>0</v>
      </c>
      <c r="G1718" s="3071">
        <v>1750578</v>
      </c>
      <c r="H1718" s="3073">
        <v>1750577.21</v>
      </c>
      <c r="I1718" s="3087">
        <f t="shared" si="365"/>
        <v>0.99999954872047969</v>
      </c>
    </row>
    <row r="1719" spans="1:9" ht="13.5" thickBot="1">
      <c r="A1719" s="2271"/>
      <c r="B1719" s="2271"/>
      <c r="C1719" s="3094"/>
      <c r="D1719" s="3095"/>
      <c r="E1719" s="1678"/>
      <c r="F1719" s="1678"/>
      <c r="G1719" s="1678"/>
      <c r="H1719" s="1747"/>
      <c r="I1719" s="2261"/>
    </row>
    <row r="1720" spans="1:9" ht="27" customHeight="1">
      <c r="A1720" s="1638"/>
      <c r="B1720" s="1638"/>
      <c r="C1720" s="4622" t="s">
        <v>801</v>
      </c>
      <c r="D1720" s="4739"/>
      <c r="E1720" s="1661"/>
      <c r="F1720" s="1661">
        <f>SUM(F1721:F1722)</f>
        <v>0</v>
      </c>
      <c r="G1720" s="1661">
        <f>SUM(G1721:G1722)</f>
        <v>19158932</v>
      </c>
      <c r="H1720" s="1663">
        <f t="shared" ref="H1720" si="389">SUM(H1721:H1722)</f>
        <v>14947303.780000001</v>
      </c>
      <c r="I1720" s="2022">
        <f t="shared" si="365"/>
        <v>0.78017416524052596</v>
      </c>
    </row>
    <row r="1721" spans="1:9" ht="54" customHeight="1" thickBot="1">
      <c r="A1721" s="1614"/>
      <c r="B1721" s="1627"/>
      <c r="C1721" s="3096" t="s">
        <v>870</v>
      </c>
      <c r="D1721" s="3097" t="s">
        <v>877</v>
      </c>
      <c r="E1721" s="1678"/>
      <c r="F1721" s="3071">
        <v>0</v>
      </c>
      <c r="G1721" s="3071">
        <v>17408354</v>
      </c>
      <c r="H1721" s="3073">
        <v>13196726.57</v>
      </c>
      <c r="I1721" s="3087">
        <f t="shared" si="365"/>
        <v>0.75806860143124388</v>
      </c>
    </row>
    <row r="1722" spans="1:9" ht="40.5" customHeight="1" thickBot="1">
      <c r="A1722" s="1614"/>
      <c r="B1722" s="1627"/>
      <c r="C1722" s="2000" t="s">
        <v>878</v>
      </c>
      <c r="D1722" s="3098" t="s">
        <v>967</v>
      </c>
      <c r="E1722" s="1668"/>
      <c r="F1722" s="1668">
        <v>0</v>
      </c>
      <c r="G1722" s="2134">
        <v>1750578</v>
      </c>
      <c r="H1722" s="1818">
        <v>1750577.21</v>
      </c>
      <c r="I1722" s="3087">
        <f t="shared" si="365"/>
        <v>0.99999954872047969</v>
      </c>
    </row>
    <row r="1723" spans="1:9" ht="21" customHeight="1" thickBot="1">
      <c r="A1723" s="3099" t="s">
        <v>48</v>
      </c>
      <c r="B1723" s="3100"/>
      <c r="C1723" s="3101"/>
      <c r="D1723" s="3102" t="s">
        <v>1119</v>
      </c>
      <c r="E1723" s="3103" t="e">
        <f>SUM(E1724,E1728,E1732,E1790,E1786)</f>
        <v>#REF!</v>
      </c>
      <c r="F1723" s="3103">
        <f>SUM(F1724,F1728,F1732,F1790,F1786)</f>
        <v>23558507</v>
      </c>
      <c r="G1723" s="3104">
        <f>SUM(G1724,G1728,G1732,G1790,G1786)</f>
        <v>24315196</v>
      </c>
      <c r="H1723" s="3105">
        <f t="shared" ref="H1723" si="390">SUM(H1724,H1728,H1732,H1790,H1786)</f>
        <v>22400306.710000001</v>
      </c>
      <c r="I1723" s="3106">
        <f t="shared" si="365"/>
        <v>0.92124721963993217</v>
      </c>
    </row>
    <row r="1724" spans="1:9" ht="17.100000000000001" customHeight="1" thickBot="1">
      <c r="A1724" s="2745"/>
      <c r="B1724" s="3107" t="s">
        <v>50</v>
      </c>
      <c r="C1724" s="3108"/>
      <c r="D1724" s="3109" t="s">
        <v>51</v>
      </c>
      <c r="E1724" s="3013">
        <f t="shared" ref="E1724:H1725" si="391">E1725</f>
        <v>200000</v>
      </c>
      <c r="F1724" s="3013">
        <f t="shared" si="391"/>
        <v>200000</v>
      </c>
      <c r="G1724" s="3014">
        <f t="shared" si="391"/>
        <v>160720</v>
      </c>
      <c r="H1724" s="3015">
        <f t="shared" si="391"/>
        <v>151537.5</v>
      </c>
      <c r="I1724" s="3016">
        <f t="shared" si="365"/>
        <v>0.94286647585863614</v>
      </c>
    </row>
    <row r="1725" spans="1:9" ht="17.100000000000001" customHeight="1">
      <c r="A1725" s="2745"/>
      <c r="B1725" s="4755"/>
      <c r="C1725" s="4633" t="s">
        <v>760</v>
      </c>
      <c r="D1725" s="4633"/>
      <c r="E1725" s="1615">
        <f>E1726</f>
        <v>200000</v>
      </c>
      <c r="F1725" s="1615">
        <f t="shared" si="391"/>
        <v>200000</v>
      </c>
      <c r="G1725" s="1616">
        <f t="shared" si="391"/>
        <v>160720</v>
      </c>
      <c r="H1725" s="1617">
        <f t="shared" si="391"/>
        <v>151537.5</v>
      </c>
      <c r="I1725" s="1780">
        <f t="shared" si="365"/>
        <v>0.94286647585863614</v>
      </c>
    </row>
    <row r="1726" spans="1:9" ht="17.100000000000001" customHeight="1">
      <c r="A1726" s="2745"/>
      <c r="B1726" s="4755"/>
      <c r="C1726" s="4751" t="s">
        <v>838</v>
      </c>
      <c r="D1726" s="4751"/>
      <c r="E1726" s="3071">
        <f>SUM(E1727:E1727)</f>
        <v>200000</v>
      </c>
      <c r="F1726" s="3071">
        <f t="shared" ref="F1726:H1726" si="392">SUM(F1727:F1727)</f>
        <v>200000</v>
      </c>
      <c r="G1726" s="3072">
        <f t="shared" si="392"/>
        <v>160720</v>
      </c>
      <c r="H1726" s="3073">
        <f t="shared" si="392"/>
        <v>151537.5</v>
      </c>
      <c r="I1726" s="1769">
        <f t="shared" si="365"/>
        <v>0.94286647585863614</v>
      </c>
    </row>
    <row r="1727" spans="1:9" ht="55.5" customHeight="1" thickBot="1">
      <c r="A1727" s="2745"/>
      <c r="B1727" s="4755"/>
      <c r="C1727" s="2086" t="s">
        <v>44</v>
      </c>
      <c r="D1727" s="2975" t="s">
        <v>1120</v>
      </c>
      <c r="E1727" s="2305">
        <v>200000</v>
      </c>
      <c r="F1727" s="2305">
        <v>200000</v>
      </c>
      <c r="G1727" s="3019">
        <v>160720</v>
      </c>
      <c r="H1727" s="3073">
        <v>151537.5</v>
      </c>
      <c r="I1727" s="1725">
        <f t="shared" si="365"/>
        <v>0.94286647585863614</v>
      </c>
    </row>
    <row r="1728" spans="1:9" ht="30" customHeight="1" thickBot="1">
      <c r="A1728" s="2745"/>
      <c r="B1728" s="3107" t="s">
        <v>153</v>
      </c>
      <c r="C1728" s="3108"/>
      <c r="D1728" s="3109" t="s">
        <v>1121</v>
      </c>
      <c r="E1728" s="3110" t="e">
        <f>E1729</f>
        <v>#REF!</v>
      </c>
      <c r="F1728" s="3110">
        <f t="shared" ref="F1728:H1729" si="393">F1729</f>
        <v>50000</v>
      </c>
      <c r="G1728" s="3110">
        <f t="shared" si="393"/>
        <v>755605</v>
      </c>
      <c r="H1728" s="3111">
        <f t="shared" si="393"/>
        <v>755598.48</v>
      </c>
      <c r="I1728" s="3016">
        <f t="shared" si="365"/>
        <v>0.99999137115291714</v>
      </c>
    </row>
    <row r="1729" spans="1:9" ht="15" customHeight="1">
      <c r="A1729" s="2745"/>
      <c r="B1729" s="4755"/>
      <c r="C1729" s="4633" t="s">
        <v>760</v>
      </c>
      <c r="D1729" s="4633"/>
      <c r="E1729" s="1908" t="e">
        <f>E1730</f>
        <v>#REF!</v>
      </c>
      <c r="F1729" s="1908">
        <f t="shared" si="393"/>
        <v>50000</v>
      </c>
      <c r="G1729" s="1908">
        <f t="shared" si="393"/>
        <v>755605</v>
      </c>
      <c r="H1729" s="1910">
        <f t="shared" si="393"/>
        <v>755598.48</v>
      </c>
      <c r="I1729" s="1780">
        <f t="shared" si="365"/>
        <v>0.99999137115291714</v>
      </c>
    </row>
    <row r="1730" spans="1:9" ht="15" customHeight="1">
      <c r="A1730" s="2745"/>
      <c r="B1730" s="4755"/>
      <c r="C1730" s="4751" t="s">
        <v>838</v>
      </c>
      <c r="D1730" s="4751"/>
      <c r="E1730" s="3112" t="e">
        <f>#REF!+E1732</f>
        <v>#REF!</v>
      </c>
      <c r="F1730" s="3112">
        <f>SUM(F1731)</f>
        <v>50000</v>
      </c>
      <c r="G1730" s="3112">
        <f t="shared" ref="G1730:H1730" si="394">SUM(G1731)</f>
        <v>755605</v>
      </c>
      <c r="H1730" s="3113">
        <f t="shared" si="394"/>
        <v>755598.48</v>
      </c>
      <c r="I1730" s="1769">
        <f t="shared" si="365"/>
        <v>0.99999137115291714</v>
      </c>
    </row>
    <row r="1731" spans="1:9" ht="42" customHeight="1" thickBot="1">
      <c r="A1731" s="4755"/>
      <c r="B1731" s="4758"/>
      <c r="C1731" s="3114" t="s">
        <v>86</v>
      </c>
      <c r="D1731" s="3115" t="s">
        <v>941</v>
      </c>
      <c r="E1731" s="1678"/>
      <c r="F1731" s="1678">
        <v>50000</v>
      </c>
      <c r="G1731" s="3116">
        <v>755605</v>
      </c>
      <c r="H1731" s="1747">
        <v>755598.48</v>
      </c>
      <c r="I1731" s="1651">
        <f t="shared" si="365"/>
        <v>0.99999137115291714</v>
      </c>
    </row>
    <row r="1732" spans="1:9" ht="17.100000000000001" customHeight="1" thickBot="1">
      <c r="A1732" s="4755"/>
      <c r="B1732" s="1794" t="s">
        <v>1122</v>
      </c>
      <c r="C1732" s="1795"/>
      <c r="D1732" s="1796" t="s">
        <v>660</v>
      </c>
      <c r="E1732" s="1797">
        <f t="shared" ref="E1732:H1732" si="395">E1733+E1782</f>
        <v>4087638</v>
      </c>
      <c r="F1732" s="1797">
        <f t="shared" si="395"/>
        <v>4528732</v>
      </c>
      <c r="G1732" s="1934">
        <f t="shared" si="395"/>
        <v>5779101</v>
      </c>
      <c r="H1732" s="1935">
        <f t="shared" si="395"/>
        <v>5676604.9699999997</v>
      </c>
      <c r="I1732" s="1936">
        <f t="shared" si="365"/>
        <v>0.98226436430164477</v>
      </c>
    </row>
    <row r="1733" spans="1:9" ht="17.100000000000001" customHeight="1">
      <c r="A1733" s="1614"/>
      <c r="B1733" s="1627"/>
      <c r="C1733" s="4633" t="s">
        <v>760</v>
      </c>
      <c r="D1733" s="4633"/>
      <c r="E1733" s="1615">
        <f>E1734+E1767+E1770</f>
        <v>3877438</v>
      </c>
      <c r="F1733" s="1615">
        <f>F1734+F1767+F1770</f>
        <v>4090336</v>
      </c>
      <c r="G1733" s="1616">
        <f t="shared" ref="G1733:H1733" si="396">G1734+G1767+G1770</f>
        <v>4824125</v>
      </c>
      <c r="H1733" s="1617">
        <f t="shared" si="396"/>
        <v>4723278.92</v>
      </c>
      <c r="I1733" s="1780">
        <f t="shared" si="365"/>
        <v>0.97909546705361072</v>
      </c>
    </row>
    <row r="1734" spans="1:9" ht="17.100000000000001" customHeight="1">
      <c r="A1734" s="1638"/>
      <c r="B1734" s="1638"/>
      <c r="C1734" s="4756" t="s">
        <v>761</v>
      </c>
      <c r="D1734" s="4732"/>
      <c r="E1734" s="3071">
        <f t="shared" ref="E1734:H1734" si="397">E1735+E1743</f>
        <v>3187978</v>
      </c>
      <c r="F1734" s="3071">
        <f t="shared" si="397"/>
        <v>3402192</v>
      </c>
      <c r="G1734" s="3072">
        <f t="shared" si="397"/>
        <v>4045445</v>
      </c>
      <c r="H1734" s="3073">
        <f t="shared" si="397"/>
        <v>3986429.0999999996</v>
      </c>
      <c r="I1734" s="1769">
        <f t="shared" si="365"/>
        <v>0.98541176557832322</v>
      </c>
    </row>
    <row r="1735" spans="1:9" ht="17.100000000000001" customHeight="1">
      <c r="A1735" s="1638"/>
      <c r="B1735" s="1638"/>
      <c r="C1735" s="4618" t="s">
        <v>762</v>
      </c>
      <c r="D1735" s="4618"/>
      <c r="E1735" s="2904">
        <f t="shared" ref="E1735" si="398">SUM(E1736:E1740)</f>
        <v>2378509</v>
      </c>
      <c r="F1735" s="2904">
        <f>SUM(F1736:F1741)</f>
        <v>2687842</v>
      </c>
      <c r="G1735" s="2904">
        <f>SUM(G1736:G1741)</f>
        <v>3238868</v>
      </c>
      <c r="H1735" s="2906">
        <f>SUM(H1736:H1741)</f>
        <v>3193613.7399999998</v>
      </c>
      <c r="I1735" s="1783">
        <f t="shared" si="365"/>
        <v>0.98602775414126165</v>
      </c>
    </row>
    <row r="1736" spans="1:9" ht="17.100000000000001" customHeight="1">
      <c r="A1736" s="1614"/>
      <c r="B1736" s="1627"/>
      <c r="C1736" s="3117" t="s">
        <v>61</v>
      </c>
      <c r="D1736" s="3118" t="s">
        <v>763</v>
      </c>
      <c r="E1736" s="3112">
        <v>1879399</v>
      </c>
      <c r="F1736" s="3112">
        <v>2047672</v>
      </c>
      <c r="G1736" s="3019">
        <v>2502877</v>
      </c>
      <c r="H1736" s="3113">
        <v>2483153.79</v>
      </c>
      <c r="I1736" s="1769">
        <f t="shared" si="365"/>
        <v>0.99211978455193761</v>
      </c>
    </row>
    <row r="1737" spans="1:9" ht="17.100000000000001" customHeight="1">
      <c r="A1737" s="1614"/>
      <c r="B1737" s="1627"/>
      <c r="C1737" s="3117" t="s">
        <v>315</v>
      </c>
      <c r="D1737" s="3118" t="s">
        <v>764</v>
      </c>
      <c r="E1737" s="3112">
        <v>120890</v>
      </c>
      <c r="F1737" s="3112">
        <v>202103</v>
      </c>
      <c r="G1737" s="3019">
        <v>196537</v>
      </c>
      <c r="H1737" s="3113">
        <v>196536.8</v>
      </c>
      <c r="I1737" s="1769">
        <f t="shared" si="365"/>
        <v>0.99999898237990803</v>
      </c>
    </row>
    <row r="1738" spans="1:9" ht="17.100000000000001" customHeight="1">
      <c r="A1738" s="1614"/>
      <c r="B1738" s="1627"/>
      <c r="C1738" s="3117" t="s">
        <v>62</v>
      </c>
      <c r="D1738" s="3118" t="s">
        <v>765</v>
      </c>
      <c r="E1738" s="3112">
        <v>320069</v>
      </c>
      <c r="F1738" s="3112">
        <v>374982</v>
      </c>
      <c r="G1738" s="3019">
        <v>440929</v>
      </c>
      <c r="H1738" s="3113">
        <v>433610.17</v>
      </c>
      <c r="I1738" s="1769">
        <f t="shared" si="365"/>
        <v>0.98340134125902356</v>
      </c>
    </row>
    <row r="1739" spans="1:9" ht="27.75" customHeight="1" thickBot="1">
      <c r="A1739" s="1644"/>
      <c r="B1739" s="1645"/>
      <c r="C1739" s="3119" t="s">
        <v>63</v>
      </c>
      <c r="D1739" s="3120" t="s">
        <v>766</v>
      </c>
      <c r="E1739" s="1678">
        <v>42751</v>
      </c>
      <c r="F1739" s="1678">
        <v>51085</v>
      </c>
      <c r="G1739" s="3116">
        <v>54852</v>
      </c>
      <c r="H1739" s="1747">
        <v>51826.33</v>
      </c>
      <c r="I1739" s="1651">
        <f t="shared" si="365"/>
        <v>0.94483938598410266</v>
      </c>
    </row>
    <row r="1740" spans="1:9" ht="17.100000000000001" customHeight="1">
      <c r="A1740" s="1627"/>
      <c r="B1740" s="1627"/>
      <c r="C1740" s="1695" t="s">
        <v>324</v>
      </c>
      <c r="D1740" s="1696" t="s">
        <v>767</v>
      </c>
      <c r="E1740" s="1668">
        <v>15400</v>
      </c>
      <c r="F1740" s="1668">
        <v>12000</v>
      </c>
      <c r="G1740" s="2233">
        <v>14600</v>
      </c>
      <c r="H1740" s="1818">
        <v>12800</v>
      </c>
      <c r="I1740" s="1725">
        <f t="shared" si="365"/>
        <v>0.87671232876712324</v>
      </c>
    </row>
    <row r="1741" spans="1:9" ht="17.100000000000001" customHeight="1">
      <c r="A1741" s="1627"/>
      <c r="B1741" s="1627"/>
      <c r="C1741" s="3083" t="s">
        <v>335</v>
      </c>
      <c r="D1741" s="3121" t="s">
        <v>768</v>
      </c>
      <c r="E1741" s="3122"/>
      <c r="F1741" s="3071">
        <v>0</v>
      </c>
      <c r="G1741" s="3019">
        <v>29073</v>
      </c>
      <c r="H1741" s="3073">
        <v>15686.65</v>
      </c>
      <c r="I1741" s="3079">
        <f t="shared" si="365"/>
        <v>0.53956076084339422</v>
      </c>
    </row>
    <row r="1742" spans="1:9" ht="17.100000000000001" customHeight="1">
      <c r="A1742" s="1614"/>
      <c r="B1742" s="1627"/>
      <c r="C1742" s="1688"/>
      <c r="D1742" s="1688"/>
      <c r="E1742" s="1638"/>
      <c r="F1742" s="1638"/>
      <c r="G1742" s="1881"/>
      <c r="H1742" s="1663"/>
      <c r="I1742" s="1769"/>
    </row>
    <row r="1743" spans="1:9" ht="17.100000000000001" customHeight="1">
      <c r="A1743" s="1614"/>
      <c r="B1743" s="1627"/>
      <c r="C1743" s="4757" t="s">
        <v>769</v>
      </c>
      <c r="D1743" s="4757"/>
      <c r="E1743" s="3123">
        <f t="shared" ref="E1743:H1743" si="399">SUM(E1744:E1765)</f>
        <v>809469</v>
      </c>
      <c r="F1743" s="3123">
        <f t="shared" si="399"/>
        <v>714350</v>
      </c>
      <c r="G1743" s="3124">
        <f t="shared" si="399"/>
        <v>806577</v>
      </c>
      <c r="H1743" s="3125">
        <f t="shared" si="399"/>
        <v>792815.36</v>
      </c>
      <c r="I1743" s="1783">
        <f t="shared" si="365"/>
        <v>0.98293821916568413</v>
      </c>
    </row>
    <row r="1744" spans="1:9" ht="25.5" customHeight="1">
      <c r="A1744" s="1614"/>
      <c r="B1744" s="1627"/>
      <c r="C1744" s="3126" t="s">
        <v>332</v>
      </c>
      <c r="D1744" s="3127" t="s">
        <v>770</v>
      </c>
      <c r="E1744" s="3071">
        <v>10000</v>
      </c>
      <c r="F1744" s="3071">
        <v>5822</v>
      </c>
      <c r="G1744" s="3019">
        <v>5822</v>
      </c>
      <c r="H1744" s="3073">
        <v>5017.5600000000004</v>
      </c>
      <c r="I1744" s="1769">
        <f t="shared" si="365"/>
        <v>0.86182755066987293</v>
      </c>
    </row>
    <row r="1745" spans="1:9" ht="17.100000000000001" customHeight="1">
      <c r="A1745" s="1614"/>
      <c r="B1745" s="1627"/>
      <c r="C1745" s="3128" t="s">
        <v>47</v>
      </c>
      <c r="D1745" s="3129" t="s">
        <v>818</v>
      </c>
      <c r="E1745" s="3112">
        <v>22000</v>
      </c>
      <c r="F1745" s="3112">
        <v>22440</v>
      </c>
      <c r="G1745" s="3019">
        <v>22440</v>
      </c>
      <c r="H1745" s="3113">
        <v>22440</v>
      </c>
      <c r="I1745" s="1769">
        <f t="shared" si="365"/>
        <v>1</v>
      </c>
    </row>
    <row r="1746" spans="1:9" ht="17.100000000000001" customHeight="1">
      <c r="A1746" s="1614"/>
      <c r="B1746" s="1627"/>
      <c r="C1746" s="1659" t="s">
        <v>22</v>
      </c>
      <c r="D1746" s="1660" t="s">
        <v>771</v>
      </c>
      <c r="E1746" s="3130">
        <v>141677</v>
      </c>
      <c r="F1746" s="3130">
        <v>115814</v>
      </c>
      <c r="G1746" s="1881">
        <v>220359</v>
      </c>
      <c r="H1746" s="2931">
        <v>220358.64</v>
      </c>
      <c r="I1746" s="1769">
        <f t="shared" si="365"/>
        <v>0.99999836630226135</v>
      </c>
    </row>
    <row r="1747" spans="1:9" ht="17.100000000000001" customHeight="1">
      <c r="A1747" s="1614"/>
      <c r="B1747" s="1627"/>
      <c r="C1747" s="3117" t="s">
        <v>326</v>
      </c>
      <c r="D1747" s="3118" t="s">
        <v>772</v>
      </c>
      <c r="E1747" s="3112">
        <v>4000</v>
      </c>
      <c r="F1747" s="3112">
        <v>4491</v>
      </c>
      <c r="G1747" s="3019">
        <v>4491</v>
      </c>
      <c r="H1747" s="3113">
        <v>3305.79</v>
      </c>
      <c r="I1747" s="1769">
        <f t="shared" si="365"/>
        <v>0.73609218436873747</v>
      </c>
    </row>
    <row r="1748" spans="1:9" ht="17.100000000000001" customHeight="1">
      <c r="A1748" s="1614"/>
      <c r="B1748" s="1627"/>
      <c r="C1748" s="3117" t="s">
        <v>316</v>
      </c>
      <c r="D1748" s="3118" t="s">
        <v>773</v>
      </c>
      <c r="E1748" s="3112">
        <v>83963</v>
      </c>
      <c r="F1748" s="3112">
        <v>90895</v>
      </c>
      <c r="G1748" s="3019">
        <v>122996</v>
      </c>
      <c r="H1748" s="3113">
        <v>118166.39</v>
      </c>
      <c r="I1748" s="1769">
        <f t="shared" si="365"/>
        <v>0.96073360109271844</v>
      </c>
    </row>
    <row r="1749" spans="1:9" ht="17.100000000000001" customHeight="1">
      <c r="A1749" s="1614"/>
      <c r="B1749" s="1627"/>
      <c r="C1749" s="3117" t="s">
        <v>87</v>
      </c>
      <c r="D1749" s="3118" t="s">
        <v>774</v>
      </c>
      <c r="E1749" s="3112">
        <v>78969</v>
      </c>
      <c r="F1749" s="3112">
        <v>17384</v>
      </c>
      <c r="G1749" s="3019">
        <v>15078</v>
      </c>
      <c r="H1749" s="3113">
        <v>15077.88</v>
      </c>
      <c r="I1749" s="1769">
        <f t="shared" si="365"/>
        <v>0.99999204138479902</v>
      </c>
    </row>
    <row r="1750" spans="1:9" ht="17.100000000000001" customHeight="1">
      <c r="A1750" s="1614"/>
      <c r="B1750" s="1627"/>
      <c r="C1750" s="3117" t="s">
        <v>317</v>
      </c>
      <c r="D1750" s="3118" t="s">
        <v>775</v>
      </c>
      <c r="E1750" s="3112">
        <v>4800</v>
      </c>
      <c r="F1750" s="3112">
        <v>5882</v>
      </c>
      <c r="G1750" s="3019">
        <v>2482</v>
      </c>
      <c r="H1750" s="3113">
        <v>2473.7600000000002</v>
      </c>
      <c r="I1750" s="1769">
        <f t="shared" si="365"/>
        <v>0.99668009669621282</v>
      </c>
    </row>
    <row r="1751" spans="1:9" ht="17.100000000000001" customHeight="1">
      <c r="A1751" s="1614"/>
      <c r="B1751" s="1627"/>
      <c r="C1751" s="3117" t="s">
        <v>23</v>
      </c>
      <c r="D1751" s="3118" t="s">
        <v>776</v>
      </c>
      <c r="E1751" s="3112">
        <v>232265</v>
      </c>
      <c r="F1751" s="3112">
        <v>239958</v>
      </c>
      <c r="G1751" s="3019">
        <v>248258</v>
      </c>
      <c r="H1751" s="3113">
        <v>244498.74</v>
      </c>
      <c r="I1751" s="1769">
        <f t="shared" ref="I1751:I1818" si="400">H1751/G1751</f>
        <v>0.9848574466885256</v>
      </c>
    </row>
    <row r="1752" spans="1:9" ht="16.5" customHeight="1">
      <c r="A1752" s="1614"/>
      <c r="B1752" s="1627"/>
      <c r="C1752" s="3117" t="s">
        <v>318</v>
      </c>
      <c r="D1752" s="3118" t="s">
        <v>777</v>
      </c>
      <c r="E1752" s="3112">
        <v>17769</v>
      </c>
      <c r="F1752" s="3112">
        <v>15001</v>
      </c>
      <c r="G1752" s="3019">
        <v>14051</v>
      </c>
      <c r="H1752" s="3113">
        <v>13734.27</v>
      </c>
      <c r="I1752" s="1769">
        <f t="shared" si="400"/>
        <v>0.97745854387588071</v>
      </c>
    </row>
    <row r="1753" spans="1:9" ht="16.5" hidden="1" customHeight="1">
      <c r="A1753" s="1614"/>
      <c r="B1753" s="1627"/>
      <c r="C1753" s="3117" t="s">
        <v>916</v>
      </c>
      <c r="D1753" s="3118" t="s">
        <v>917</v>
      </c>
      <c r="E1753" s="3112"/>
      <c r="F1753" s="3112"/>
      <c r="G1753" s="3019"/>
      <c r="H1753" s="3113"/>
      <c r="I1753" s="1769" t="e">
        <f t="shared" si="400"/>
        <v>#DIV/0!</v>
      </c>
    </row>
    <row r="1754" spans="1:9" ht="16.5" customHeight="1">
      <c r="A1754" s="1614"/>
      <c r="B1754" s="1627"/>
      <c r="C1754" s="3117" t="s">
        <v>327</v>
      </c>
      <c r="D1754" s="3118" t="s">
        <v>778</v>
      </c>
      <c r="E1754" s="3112">
        <v>55000</v>
      </c>
      <c r="F1754" s="3112">
        <v>48000</v>
      </c>
      <c r="G1754" s="3019">
        <v>0</v>
      </c>
      <c r="H1754" s="3113">
        <v>0</v>
      </c>
      <c r="I1754" s="1769"/>
    </row>
    <row r="1755" spans="1:9" ht="27.75" customHeight="1">
      <c r="A1755" s="1614"/>
      <c r="B1755" s="1627"/>
      <c r="C1755" s="3117" t="s">
        <v>779</v>
      </c>
      <c r="D1755" s="3118" t="s">
        <v>780</v>
      </c>
      <c r="E1755" s="3112">
        <v>10217</v>
      </c>
      <c r="F1755" s="3112">
        <v>1800</v>
      </c>
      <c r="G1755" s="3019">
        <v>1212</v>
      </c>
      <c r="H1755" s="3113">
        <v>1211.1300000000001</v>
      </c>
      <c r="I1755" s="1769">
        <f t="shared" si="400"/>
        <v>0.99928217821782184</v>
      </c>
    </row>
    <row r="1756" spans="1:9" ht="17.100000000000001" customHeight="1">
      <c r="A1756" s="1614"/>
      <c r="B1756" s="1627"/>
      <c r="C1756" s="3117" t="s">
        <v>328</v>
      </c>
      <c r="D1756" s="3118" t="s">
        <v>781</v>
      </c>
      <c r="E1756" s="3112">
        <v>13000</v>
      </c>
      <c r="F1756" s="3112">
        <v>11000</v>
      </c>
      <c r="G1756" s="3019">
        <v>9600</v>
      </c>
      <c r="H1756" s="3113">
        <v>9426.2099999999991</v>
      </c>
      <c r="I1756" s="1769">
        <f t="shared" si="400"/>
        <v>0.98189687499999989</v>
      </c>
    </row>
    <row r="1757" spans="1:9" ht="17.100000000000001" customHeight="1">
      <c r="A1757" s="1614"/>
      <c r="B1757" s="1627"/>
      <c r="C1757" s="3117" t="s">
        <v>899</v>
      </c>
      <c r="D1757" s="3118" t="s">
        <v>900</v>
      </c>
      <c r="E1757" s="3112">
        <v>3500</v>
      </c>
      <c r="F1757" s="3112">
        <v>2000</v>
      </c>
      <c r="G1757" s="3019">
        <v>0</v>
      </c>
      <c r="H1757" s="3113">
        <v>0</v>
      </c>
      <c r="I1757" s="1769"/>
    </row>
    <row r="1758" spans="1:9" ht="17.100000000000001" customHeight="1">
      <c r="A1758" s="1614"/>
      <c r="B1758" s="1627"/>
      <c r="C1758" s="3117" t="s">
        <v>333</v>
      </c>
      <c r="D1758" s="3118" t="s">
        <v>782</v>
      </c>
      <c r="E1758" s="3112">
        <v>7142</v>
      </c>
      <c r="F1758" s="3112">
        <v>5041</v>
      </c>
      <c r="G1758" s="3019">
        <v>8041</v>
      </c>
      <c r="H1758" s="3113">
        <v>7908.13</v>
      </c>
      <c r="I1758" s="1769">
        <f t="shared" si="400"/>
        <v>0.98347593582887705</v>
      </c>
    </row>
    <row r="1759" spans="1:9" ht="17.100000000000001" customHeight="1">
      <c r="A1759" s="1614"/>
      <c r="B1759" s="1627"/>
      <c r="C1759" s="3117" t="s">
        <v>319</v>
      </c>
      <c r="D1759" s="3118" t="s">
        <v>783</v>
      </c>
      <c r="E1759" s="3112">
        <v>62478</v>
      </c>
      <c r="F1759" s="3112">
        <v>78896</v>
      </c>
      <c r="G1759" s="3019">
        <v>80896</v>
      </c>
      <c r="H1759" s="3113">
        <v>79772.649999999994</v>
      </c>
      <c r="I1759" s="1769">
        <f t="shared" si="400"/>
        <v>0.98611365209651891</v>
      </c>
    </row>
    <row r="1760" spans="1:9" ht="17.100000000000001" customHeight="1">
      <c r="A1760" s="1614"/>
      <c r="B1760" s="1627"/>
      <c r="C1760" s="3117" t="s">
        <v>320</v>
      </c>
      <c r="D1760" s="3118" t="s">
        <v>784</v>
      </c>
      <c r="E1760" s="3112">
        <v>20161</v>
      </c>
      <c r="F1760" s="3112">
        <v>17845</v>
      </c>
      <c r="G1760" s="3019">
        <v>16845</v>
      </c>
      <c r="H1760" s="3113">
        <v>16815.8</v>
      </c>
      <c r="I1760" s="1769">
        <f t="shared" si="400"/>
        <v>0.99826654793707326</v>
      </c>
    </row>
    <row r="1761" spans="1:9" ht="17.100000000000001" customHeight="1">
      <c r="A1761" s="1614"/>
      <c r="B1761" s="1627"/>
      <c r="C1761" s="3128" t="s">
        <v>334</v>
      </c>
      <c r="D1761" s="3129" t="s">
        <v>787</v>
      </c>
      <c r="E1761" s="3112">
        <v>21928</v>
      </c>
      <c r="F1761" s="3112">
        <v>17181</v>
      </c>
      <c r="G1761" s="3019">
        <v>16117</v>
      </c>
      <c r="H1761" s="3113">
        <v>16115.94</v>
      </c>
      <c r="I1761" s="1769">
        <f t="shared" si="400"/>
        <v>0.99993423093627853</v>
      </c>
    </row>
    <row r="1762" spans="1:9" ht="17.100000000000001" customHeight="1">
      <c r="A1762" s="1638"/>
      <c r="B1762" s="1638"/>
      <c r="C1762" s="3131" t="s">
        <v>788</v>
      </c>
      <c r="D1762" s="3132" t="s">
        <v>789</v>
      </c>
      <c r="E1762" s="3112">
        <v>4000</v>
      </c>
      <c r="F1762" s="3112">
        <v>2500</v>
      </c>
      <c r="G1762" s="3133">
        <v>500</v>
      </c>
      <c r="H1762" s="3113">
        <v>55</v>
      </c>
      <c r="I1762" s="3134">
        <f t="shared" si="400"/>
        <v>0.11</v>
      </c>
    </row>
    <row r="1763" spans="1:9" ht="25.5" customHeight="1">
      <c r="A1763" s="1638"/>
      <c r="B1763" s="1638"/>
      <c r="C1763" s="3135" t="s">
        <v>886</v>
      </c>
      <c r="D1763" s="3136" t="s">
        <v>887</v>
      </c>
      <c r="E1763" s="3137"/>
      <c r="F1763" s="3137">
        <v>0</v>
      </c>
      <c r="G1763" s="1881">
        <v>1500</v>
      </c>
      <c r="H1763" s="3138">
        <v>1500</v>
      </c>
      <c r="I1763" s="1769">
        <f t="shared" si="400"/>
        <v>1</v>
      </c>
    </row>
    <row r="1764" spans="1:9" ht="15.75" customHeight="1">
      <c r="A1764" s="1614"/>
      <c r="B1764" s="1627"/>
      <c r="C1764" s="1695" t="s">
        <v>848</v>
      </c>
      <c r="D1764" s="3118" t="s">
        <v>849</v>
      </c>
      <c r="E1764" s="3112"/>
      <c r="F1764" s="3112">
        <v>0</v>
      </c>
      <c r="G1764" s="3019">
        <v>3214</v>
      </c>
      <c r="H1764" s="3113">
        <v>2262.7199999999998</v>
      </c>
      <c r="I1764" s="1769">
        <f t="shared" si="400"/>
        <v>0.70401991288114496</v>
      </c>
    </row>
    <row r="1765" spans="1:9" ht="26.25" customHeight="1">
      <c r="A1765" s="1614"/>
      <c r="B1765" s="1627"/>
      <c r="C1765" s="3128" t="s">
        <v>64</v>
      </c>
      <c r="D1765" s="3129" t="s">
        <v>790</v>
      </c>
      <c r="E1765" s="3112">
        <v>16600</v>
      </c>
      <c r="F1765" s="3112">
        <v>12400</v>
      </c>
      <c r="G1765" s="3019">
        <v>12675</v>
      </c>
      <c r="H1765" s="3113">
        <v>12674.75</v>
      </c>
      <c r="I1765" s="1769">
        <f t="shared" si="400"/>
        <v>0.99998027613412233</v>
      </c>
    </row>
    <row r="1766" spans="1:9" ht="17.100000000000001" customHeight="1" thickBot="1">
      <c r="A1766" s="1644"/>
      <c r="B1766" s="1645"/>
      <c r="C1766" s="2272"/>
      <c r="D1766" s="1887"/>
      <c r="E1766" s="2271"/>
      <c r="F1766" s="2271"/>
      <c r="G1766" s="1967"/>
      <c r="H1766" s="1815"/>
      <c r="I1766" s="1651"/>
    </row>
    <row r="1767" spans="1:9" ht="16.5" customHeight="1">
      <c r="A1767" s="1614"/>
      <c r="B1767" s="1627"/>
      <c r="C1767" s="4644" t="s">
        <v>838</v>
      </c>
      <c r="D1767" s="4644"/>
      <c r="E1767" s="1661">
        <f>E1768</f>
        <v>680000</v>
      </c>
      <c r="F1767" s="1661">
        <f t="shared" ref="F1767:H1767" si="401">F1768</f>
        <v>680000</v>
      </c>
      <c r="G1767" s="1760">
        <f t="shared" si="401"/>
        <v>770536</v>
      </c>
      <c r="H1767" s="1663">
        <f t="shared" si="401"/>
        <v>728902.71</v>
      </c>
      <c r="I1767" s="1769">
        <f t="shared" si="400"/>
        <v>0.9459684038124111</v>
      </c>
    </row>
    <row r="1768" spans="1:9" ht="54.75" customHeight="1">
      <c r="A1768" s="1614"/>
      <c r="B1768" s="1627"/>
      <c r="C1768" s="3117" t="s">
        <v>44</v>
      </c>
      <c r="D1768" s="3118" t="s">
        <v>850</v>
      </c>
      <c r="E1768" s="3112">
        <v>680000</v>
      </c>
      <c r="F1768" s="3112">
        <v>680000</v>
      </c>
      <c r="G1768" s="3019">
        <v>770536</v>
      </c>
      <c r="H1768" s="3113">
        <v>728902.71</v>
      </c>
      <c r="I1768" s="1769">
        <f t="shared" si="400"/>
        <v>0.9459684038124111</v>
      </c>
    </row>
    <row r="1769" spans="1:9" ht="17.100000000000001" customHeight="1">
      <c r="A1769" s="1614"/>
      <c r="B1769" s="1627"/>
      <c r="C1769" s="1688"/>
      <c r="D1769" s="1688"/>
      <c r="E1769" s="1638"/>
      <c r="F1769" s="1638"/>
      <c r="G1769" s="3019"/>
      <c r="H1769" s="3113"/>
      <c r="I1769" s="1769"/>
    </row>
    <row r="1770" spans="1:9" ht="17.100000000000001" customHeight="1">
      <c r="A1770" s="1614"/>
      <c r="B1770" s="4716"/>
      <c r="C1770" s="4752" t="s">
        <v>791</v>
      </c>
      <c r="D1770" s="4752"/>
      <c r="E1770" s="3139">
        <f t="shared" ref="E1770:H1770" si="402">SUM(E1771:E1780)</f>
        <v>9460</v>
      </c>
      <c r="F1770" s="3139">
        <f t="shared" si="402"/>
        <v>8144</v>
      </c>
      <c r="G1770" s="3140">
        <f t="shared" si="402"/>
        <v>8144</v>
      </c>
      <c r="H1770" s="3141">
        <f t="shared" si="402"/>
        <v>7947.11</v>
      </c>
      <c r="I1770" s="1769">
        <f t="shared" si="400"/>
        <v>0.97582391944990177</v>
      </c>
    </row>
    <row r="1771" spans="1:9" ht="15.75" customHeight="1">
      <c r="A1771" s="1614"/>
      <c r="B1771" s="4716"/>
      <c r="C1771" s="3117" t="s">
        <v>314</v>
      </c>
      <c r="D1771" s="3118" t="s">
        <v>792</v>
      </c>
      <c r="E1771" s="3142">
        <v>8460</v>
      </c>
      <c r="F1771" s="3142">
        <v>8144</v>
      </c>
      <c r="G1771" s="3019">
        <v>8144</v>
      </c>
      <c r="H1771" s="3113">
        <v>7947.11</v>
      </c>
      <c r="I1771" s="1769">
        <f t="shared" si="400"/>
        <v>0.97582391944990177</v>
      </c>
    </row>
    <row r="1772" spans="1:9" ht="17.100000000000001" hidden="1" customHeight="1">
      <c r="A1772" s="1614"/>
      <c r="B1772" s="4716"/>
      <c r="C1772" s="3143"/>
      <c r="D1772" s="3144" t="s">
        <v>1123</v>
      </c>
      <c r="E1772" s="3145"/>
      <c r="F1772" s="3145"/>
      <c r="G1772" s="3019"/>
      <c r="H1772" s="3113"/>
      <c r="I1772" s="1769" t="e">
        <f t="shared" si="400"/>
        <v>#DIV/0!</v>
      </c>
    </row>
    <row r="1773" spans="1:9" ht="17.100000000000001" hidden="1" customHeight="1">
      <c r="A1773" s="1614"/>
      <c r="B1773" s="4716"/>
      <c r="C1773" s="4753" t="s">
        <v>760</v>
      </c>
      <c r="D1773" s="4753"/>
      <c r="E1773" s="3146"/>
      <c r="F1773" s="3146"/>
      <c r="G1773" s="3019"/>
      <c r="H1773" s="3113"/>
      <c r="I1773" s="1769" t="e">
        <f t="shared" si="400"/>
        <v>#DIV/0!</v>
      </c>
    </row>
    <row r="1774" spans="1:9" ht="17.100000000000001" hidden="1" customHeight="1">
      <c r="A1774" s="1614"/>
      <c r="B1774" s="4716"/>
      <c r="C1774" s="4751" t="s">
        <v>838</v>
      </c>
      <c r="D1774" s="4751"/>
      <c r="E1774" s="3112"/>
      <c r="F1774" s="3112"/>
      <c r="G1774" s="3019"/>
      <c r="H1774" s="3113"/>
      <c r="I1774" s="1769" t="e">
        <f t="shared" si="400"/>
        <v>#DIV/0!</v>
      </c>
    </row>
    <row r="1775" spans="1:9" ht="36.75" hidden="1" customHeight="1">
      <c r="A1775" s="1614"/>
      <c r="B1775" s="4716"/>
      <c r="C1775" s="3117" t="s">
        <v>689</v>
      </c>
      <c r="D1775" s="3118" t="s">
        <v>877</v>
      </c>
      <c r="E1775" s="3112"/>
      <c r="F1775" s="3112"/>
      <c r="G1775" s="3019"/>
      <c r="H1775" s="3113"/>
      <c r="I1775" s="1769" t="e">
        <f t="shared" si="400"/>
        <v>#DIV/0!</v>
      </c>
    </row>
    <row r="1776" spans="1:9" ht="17.100000000000001" hidden="1" customHeight="1">
      <c r="A1776" s="1614"/>
      <c r="B1776" s="4716"/>
      <c r="C1776" s="3143"/>
      <c r="D1776" s="3144" t="s">
        <v>1124</v>
      </c>
      <c r="E1776" s="3145"/>
      <c r="F1776" s="3145"/>
      <c r="G1776" s="3019"/>
      <c r="H1776" s="3113"/>
      <c r="I1776" s="1769" t="e">
        <f t="shared" si="400"/>
        <v>#DIV/0!</v>
      </c>
    </row>
    <row r="1777" spans="1:9" ht="17.100000000000001" hidden="1" customHeight="1">
      <c r="A1777" s="1614"/>
      <c r="B1777" s="4716"/>
      <c r="C1777" s="4753" t="s">
        <v>760</v>
      </c>
      <c r="D1777" s="4753"/>
      <c r="E1777" s="3146"/>
      <c r="F1777" s="3146"/>
      <c r="G1777" s="3019"/>
      <c r="H1777" s="3113"/>
      <c r="I1777" s="1769" t="e">
        <f t="shared" si="400"/>
        <v>#DIV/0!</v>
      </c>
    </row>
    <row r="1778" spans="1:9" ht="17.100000000000001" hidden="1" customHeight="1">
      <c r="A1778" s="1614"/>
      <c r="B1778" s="4716"/>
      <c r="C1778" s="4751" t="s">
        <v>838</v>
      </c>
      <c r="D1778" s="4751"/>
      <c r="E1778" s="3112"/>
      <c r="F1778" s="3112"/>
      <c r="G1778" s="3019"/>
      <c r="H1778" s="3113"/>
      <c r="I1778" s="1769" t="e">
        <f t="shared" si="400"/>
        <v>#DIV/0!</v>
      </c>
    </row>
    <row r="1779" spans="1:9" ht="0.75" hidden="1" customHeight="1">
      <c r="A1779" s="1614"/>
      <c r="B1779" s="4716"/>
      <c r="C1779" s="3117" t="s">
        <v>689</v>
      </c>
      <c r="D1779" s="3118" t="s">
        <v>877</v>
      </c>
      <c r="E1779" s="3112"/>
      <c r="F1779" s="3112"/>
      <c r="G1779" s="3019"/>
      <c r="H1779" s="3113"/>
      <c r="I1779" s="1769" t="e">
        <f t="shared" si="400"/>
        <v>#DIV/0!</v>
      </c>
    </row>
    <row r="1780" spans="1:9" ht="17.25" hidden="1" customHeight="1">
      <c r="A1780" s="1614"/>
      <c r="B1780" s="4716"/>
      <c r="C1780" s="3117" t="s">
        <v>325</v>
      </c>
      <c r="D1780" s="3118" t="s">
        <v>782</v>
      </c>
      <c r="E1780" s="3112">
        <v>1000</v>
      </c>
      <c r="F1780" s="3112">
        <v>0</v>
      </c>
      <c r="G1780" s="3019"/>
      <c r="H1780" s="3113"/>
      <c r="I1780" s="1769" t="e">
        <f t="shared" si="400"/>
        <v>#DIV/0!</v>
      </c>
    </row>
    <row r="1781" spans="1:9" ht="17.25" customHeight="1">
      <c r="A1781" s="1614"/>
      <c r="B1781" s="4716"/>
      <c r="C1781" s="1688"/>
      <c r="D1781" s="1688"/>
      <c r="E1781" s="1638"/>
      <c r="F1781" s="1638"/>
      <c r="G1781" s="3019"/>
      <c r="H1781" s="3113"/>
      <c r="I1781" s="1769"/>
    </row>
    <row r="1782" spans="1:9" ht="17.25" customHeight="1">
      <c r="A1782" s="1614"/>
      <c r="B1782" s="4716"/>
      <c r="C1782" s="4754" t="s">
        <v>793</v>
      </c>
      <c r="D1782" s="4754"/>
      <c r="E1782" s="3146">
        <f t="shared" ref="E1782:H1782" si="403">E1783</f>
        <v>210200</v>
      </c>
      <c r="F1782" s="3146">
        <f t="shared" si="403"/>
        <v>438396</v>
      </c>
      <c r="G1782" s="3147">
        <f t="shared" si="403"/>
        <v>954976</v>
      </c>
      <c r="H1782" s="3148">
        <f t="shared" si="403"/>
        <v>953326.05</v>
      </c>
      <c r="I1782" s="1780">
        <f t="shared" si="400"/>
        <v>0.9982722602452837</v>
      </c>
    </row>
    <row r="1783" spans="1:9" ht="17.25" customHeight="1">
      <c r="A1783" s="1614"/>
      <c r="B1783" s="4716"/>
      <c r="C1783" s="4750" t="s">
        <v>794</v>
      </c>
      <c r="D1783" s="4750"/>
      <c r="E1783" s="3112">
        <f>SUM(E1785+E1784)</f>
        <v>210200</v>
      </c>
      <c r="F1783" s="3112">
        <f>SUM(F1785+F1784)</f>
        <v>438396</v>
      </c>
      <c r="G1783" s="3149">
        <f>SUM(G1785+G1784)</f>
        <v>954976</v>
      </c>
      <c r="H1783" s="3113">
        <f>SUM(H1785+H1784)</f>
        <v>953326.05</v>
      </c>
      <c r="I1783" s="1769">
        <f t="shared" si="400"/>
        <v>0.9982722602452837</v>
      </c>
    </row>
    <row r="1784" spans="1:9" ht="17.25" customHeight="1">
      <c r="A1784" s="1614"/>
      <c r="B1784" s="4716"/>
      <c r="C1784" s="3150" t="s">
        <v>89</v>
      </c>
      <c r="D1784" s="3151" t="s">
        <v>795</v>
      </c>
      <c r="E1784" s="3139">
        <v>198200</v>
      </c>
      <c r="F1784" s="3139">
        <v>438396</v>
      </c>
      <c r="G1784" s="3133">
        <v>845014</v>
      </c>
      <c r="H1784" s="3113">
        <v>843733.05</v>
      </c>
      <c r="I1784" s="1769">
        <f t="shared" si="400"/>
        <v>0.99848410795560794</v>
      </c>
    </row>
    <row r="1785" spans="1:9" ht="17.25" customHeight="1" thickBot="1">
      <c r="A1785" s="1614"/>
      <c r="B1785" s="4716"/>
      <c r="C1785" s="3152" t="s">
        <v>24</v>
      </c>
      <c r="D1785" s="3153" t="s">
        <v>842</v>
      </c>
      <c r="E1785" s="3139">
        <v>12000</v>
      </c>
      <c r="F1785" s="3139">
        <v>0</v>
      </c>
      <c r="G1785" s="2166">
        <v>109962</v>
      </c>
      <c r="H1785" s="2306">
        <v>109593</v>
      </c>
      <c r="I1785" s="1725">
        <f t="shared" si="400"/>
        <v>0.99664429530201337</v>
      </c>
    </row>
    <row r="1786" spans="1:9" ht="17.100000000000001" hidden="1" customHeight="1" thickBot="1">
      <c r="A1786" s="1614"/>
      <c r="B1786" s="3010" t="s">
        <v>155</v>
      </c>
      <c r="C1786" s="3011"/>
      <c r="D1786" s="3012" t="s">
        <v>91</v>
      </c>
      <c r="E1786" s="3013">
        <f t="shared" ref="E1786:H1788" si="404">E1787</f>
        <v>100000</v>
      </c>
      <c r="F1786" s="3013">
        <f t="shared" si="404"/>
        <v>0</v>
      </c>
      <c r="G1786" s="3013">
        <f t="shared" si="404"/>
        <v>0</v>
      </c>
      <c r="H1786" s="3015">
        <f t="shared" si="404"/>
        <v>0</v>
      </c>
      <c r="I1786" s="3154" t="e">
        <f t="shared" si="400"/>
        <v>#DIV/0!</v>
      </c>
    </row>
    <row r="1787" spans="1:9" ht="17.25" hidden="1" customHeight="1">
      <c r="A1787" s="1614"/>
      <c r="B1787" s="1627"/>
      <c r="C1787" s="4749" t="s">
        <v>760</v>
      </c>
      <c r="D1787" s="4749"/>
      <c r="E1787" s="3155">
        <f t="shared" si="404"/>
        <v>100000</v>
      </c>
      <c r="F1787" s="1615">
        <f t="shared" si="404"/>
        <v>0</v>
      </c>
      <c r="G1787" s="1615">
        <f t="shared" si="404"/>
        <v>0</v>
      </c>
      <c r="H1787" s="1617">
        <f t="shared" si="404"/>
        <v>0</v>
      </c>
      <c r="I1787" s="1769" t="e">
        <f t="shared" si="400"/>
        <v>#DIV/0!</v>
      </c>
    </row>
    <row r="1788" spans="1:9" ht="17.25" hidden="1" customHeight="1">
      <c r="A1788" s="1614"/>
      <c r="B1788" s="1627"/>
      <c r="C1788" s="4750" t="s">
        <v>838</v>
      </c>
      <c r="D1788" s="4750"/>
      <c r="E1788" s="3112">
        <f t="shared" si="404"/>
        <v>100000</v>
      </c>
      <c r="F1788" s="3112">
        <f t="shared" si="404"/>
        <v>0</v>
      </c>
      <c r="G1788" s="3112">
        <f t="shared" si="404"/>
        <v>0</v>
      </c>
      <c r="H1788" s="3113">
        <f t="shared" si="404"/>
        <v>0</v>
      </c>
      <c r="I1788" s="1769" t="e">
        <f t="shared" si="400"/>
        <v>#DIV/0!</v>
      </c>
    </row>
    <row r="1789" spans="1:9" ht="43.5" hidden="1" customHeight="1" thickBot="1">
      <c r="A1789" s="1614"/>
      <c r="B1789" s="1627"/>
      <c r="C1789" s="3152" t="s">
        <v>86</v>
      </c>
      <c r="D1789" s="3153" t="s">
        <v>941</v>
      </c>
      <c r="E1789" s="1668">
        <v>100000</v>
      </c>
      <c r="F1789" s="1668">
        <v>0</v>
      </c>
      <c r="G1789" s="3019">
        <v>0</v>
      </c>
      <c r="H1789" s="3113">
        <v>0</v>
      </c>
      <c r="I1789" s="1725" t="e">
        <f t="shared" si="400"/>
        <v>#DIV/0!</v>
      </c>
    </row>
    <row r="1790" spans="1:9" ht="17.100000000000001" customHeight="1" thickBot="1">
      <c r="A1790" s="1614"/>
      <c r="B1790" s="3010" t="s">
        <v>1125</v>
      </c>
      <c r="C1790" s="3011"/>
      <c r="D1790" s="3012" t="s">
        <v>95</v>
      </c>
      <c r="E1790" s="3013">
        <f>E1791+E1865</f>
        <v>26470039</v>
      </c>
      <c r="F1790" s="3013">
        <f>F1791+F1865</f>
        <v>18779775</v>
      </c>
      <c r="G1790" s="3013">
        <f>G1791+G1865</f>
        <v>17619770</v>
      </c>
      <c r="H1790" s="3015">
        <f>H1791+H1865</f>
        <v>15816565.760000002</v>
      </c>
      <c r="I1790" s="3016">
        <f t="shared" si="400"/>
        <v>0.89766017150053612</v>
      </c>
    </row>
    <row r="1791" spans="1:9" ht="17.100000000000001" customHeight="1">
      <c r="A1791" s="1614"/>
      <c r="B1791" s="1779"/>
      <c r="C1791" s="4633" t="s">
        <v>760</v>
      </c>
      <c r="D1791" s="4633"/>
      <c r="E1791" s="1615">
        <f>E1792+E1800</f>
        <v>25536189</v>
      </c>
      <c r="F1791" s="1615">
        <f>F1792+F1800</f>
        <v>18016986</v>
      </c>
      <c r="G1791" s="1615">
        <f>G1792+G1800</f>
        <v>17479421</v>
      </c>
      <c r="H1791" s="1617">
        <f>H1792+H1800</f>
        <v>15683495.350000001</v>
      </c>
      <c r="I1791" s="1780">
        <f t="shared" si="400"/>
        <v>0.8972548547231628</v>
      </c>
    </row>
    <row r="1792" spans="1:9" ht="17.100000000000001" customHeight="1">
      <c r="A1792" s="1614"/>
      <c r="B1792" s="1779"/>
      <c r="C1792" s="4751" t="s">
        <v>838</v>
      </c>
      <c r="D1792" s="4751"/>
      <c r="E1792" s="3112">
        <f>SUM(E1794:E1798)</f>
        <v>17274147</v>
      </c>
      <c r="F1792" s="3112">
        <f>SUM(F1794:F1798)</f>
        <v>15679300</v>
      </c>
      <c r="G1792" s="3112">
        <f>SUM(G1794:G1798)</f>
        <v>12376246</v>
      </c>
      <c r="H1792" s="3113">
        <f>SUM(H1794:H1798)</f>
        <v>11609674.750000002</v>
      </c>
      <c r="I1792" s="1769">
        <f t="shared" si="400"/>
        <v>0.93806108492025786</v>
      </c>
    </row>
    <row r="1793" spans="1:11" ht="17.100000000000001" customHeight="1">
      <c r="A1793" s="1614"/>
      <c r="B1793" s="1779"/>
      <c r="C1793" s="3156"/>
      <c r="D1793" s="3156"/>
      <c r="E1793" s="3112"/>
      <c r="F1793" s="3112"/>
      <c r="G1793" s="3157"/>
      <c r="H1793" s="3113"/>
      <c r="I1793" s="1769"/>
    </row>
    <row r="1794" spans="1:11" ht="67.5" customHeight="1">
      <c r="A1794" s="1614"/>
      <c r="B1794" s="1779"/>
      <c r="C1794" s="3158" t="s">
        <v>689</v>
      </c>
      <c r="D1794" s="3129" t="s">
        <v>856</v>
      </c>
      <c r="E1794" s="3112">
        <v>13988513</v>
      </c>
      <c r="F1794" s="3112">
        <v>12384332</v>
      </c>
      <c r="G1794" s="3019">
        <v>10138756</v>
      </c>
      <c r="H1794" s="3113">
        <v>9558393.7699999996</v>
      </c>
      <c r="I1794" s="1769">
        <f t="shared" si="400"/>
        <v>0.94275804349172621</v>
      </c>
    </row>
    <row r="1795" spans="1:11" ht="66" customHeight="1">
      <c r="A1795" s="4716"/>
      <c r="B1795" s="1779"/>
      <c r="C1795" s="3131" t="s">
        <v>528</v>
      </c>
      <c r="D1795" s="3159" t="s">
        <v>805</v>
      </c>
      <c r="E1795" s="3112">
        <v>2506163</v>
      </c>
      <c r="F1795" s="3112">
        <v>3294968</v>
      </c>
      <c r="G1795" s="3019">
        <f>2409859-508245</f>
        <v>1901614</v>
      </c>
      <c r="H1795" s="3113">
        <f>2096309.32-379909.77</f>
        <v>1716399.55</v>
      </c>
      <c r="I1795" s="3079">
        <f t="shared" si="400"/>
        <v>0.90260144803309195</v>
      </c>
    </row>
    <row r="1796" spans="1:11" ht="56.25" customHeight="1" thickBot="1">
      <c r="A1796" s="4675"/>
      <c r="B1796" s="1791"/>
      <c r="C1796" s="3160" t="s">
        <v>44</v>
      </c>
      <c r="D1796" s="2530" t="s">
        <v>850</v>
      </c>
      <c r="E1796" s="1814">
        <v>26420</v>
      </c>
      <c r="F1796" s="1814">
        <v>0</v>
      </c>
      <c r="G1796" s="1967">
        <v>98835</v>
      </c>
      <c r="H1796" s="1815">
        <v>97843.15</v>
      </c>
      <c r="I1796" s="1651">
        <f t="shared" si="400"/>
        <v>0.98996458744371929</v>
      </c>
    </row>
    <row r="1797" spans="1:11" ht="54.75" customHeight="1">
      <c r="A1797" s="1614"/>
      <c r="B1797" s="1779"/>
      <c r="C1797" s="2607" t="s">
        <v>634</v>
      </c>
      <c r="D1797" s="3161" t="s">
        <v>857</v>
      </c>
      <c r="E1797" s="1668">
        <v>1073</v>
      </c>
      <c r="F1797" s="1668">
        <v>0</v>
      </c>
      <c r="G1797" s="2233">
        <f>3151-1453</f>
        <v>1698</v>
      </c>
      <c r="H1797" s="1818">
        <f>3150.42-1452.53</f>
        <v>1697.89</v>
      </c>
      <c r="I1797" s="1725">
        <f t="shared" si="400"/>
        <v>0.99993521790341588</v>
      </c>
    </row>
    <row r="1798" spans="1:11" ht="22.5" customHeight="1">
      <c r="A1798" s="1614"/>
      <c r="B1798" s="1779"/>
      <c r="C1798" s="3162">
        <v>2959</v>
      </c>
      <c r="D1798" s="3163" t="s">
        <v>858</v>
      </c>
      <c r="E1798" s="3112">
        <v>751978</v>
      </c>
      <c r="F1798" s="3112">
        <v>0</v>
      </c>
      <c r="G1798" s="3019">
        <f>242274-6931</f>
        <v>235343</v>
      </c>
      <c r="H1798" s="3113">
        <f>242270.31-6929.92</f>
        <v>235340.38999999998</v>
      </c>
      <c r="I1798" s="3079">
        <f t="shared" si="400"/>
        <v>0.99998890980398814</v>
      </c>
    </row>
    <row r="1799" spans="1:11" ht="18.75" customHeight="1">
      <c r="A1799" s="1614"/>
      <c r="B1799" s="1779"/>
      <c r="C1799" s="3164"/>
      <c r="D1799" s="3165"/>
      <c r="E1799" s="3166"/>
      <c r="F1799" s="3166"/>
      <c r="G1799" s="3167"/>
      <c r="H1799" s="3113"/>
      <c r="I1799" s="1769"/>
    </row>
    <row r="1800" spans="1:11" ht="29.25" customHeight="1">
      <c r="A1800" s="1614"/>
      <c r="B1800" s="1779"/>
      <c r="C1800" s="4720" t="s">
        <v>803</v>
      </c>
      <c r="D1800" s="4720"/>
      <c r="E1800" s="3130">
        <f>SUM(E1801:E1863)</f>
        <v>8262042</v>
      </c>
      <c r="F1800" s="3130">
        <f>SUM(F1801:F1863)</f>
        <v>2337686</v>
      </c>
      <c r="G1800" s="3168">
        <f>SUM(G1801:G1863)</f>
        <v>5103175</v>
      </c>
      <c r="H1800" s="2931">
        <f>SUM(H1801:H1863)</f>
        <v>4073820.5999999996</v>
      </c>
      <c r="I1800" s="1769">
        <f t="shared" si="400"/>
        <v>0.7982913774267979</v>
      </c>
    </row>
    <row r="1801" spans="1:11" ht="66.75" hidden="1" customHeight="1">
      <c r="A1801" s="1614"/>
      <c r="B1801" s="1779"/>
      <c r="C1801" s="3169" t="s">
        <v>535</v>
      </c>
      <c r="D1801" s="3170" t="s">
        <v>856</v>
      </c>
      <c r="E1801" s="3112">
        <v>2724647</v>
      </c>
      <c r="F1801" s="3112">
        <v>0</v>
      </c>
      <c r="G1801" s="3167">
        <v>0</v>
      </c>
      <c r="H1801" s="3113">
        <v>0</v>
      </c>
      <c r="I1801" s="1769" t="e">
        <f t="shared" si="400"/>
        <v>#DIV/0!</v>
      </c>
    </row>
    <row r="1802" spans="1:11" ht="66.75" hidden="1" customHeight="1">
      <c r="A1802" s="1614"/>
      <c r="B1802" s="1779"/>
      <c r="C1802" s="3169" t="s">
        <v>689</v>
      </c>
      <c r="D1802" s="2805" t="s">
        <v>856</v>
      </c>
      <c r="E1802" s="3112"/>
      <c r="F1802" s="3112">
        <v>0</v>
      </c>
      <c r="G1802" s="3167">
        <v>0</v>
      </c>
      <c r="H1802" s="3113">
        <v>0</v>
      </c>
      <c r="I1802" s="1769" t="e">
        <f t="shared" si="400"/>
        <v>#DIV/0!</v>
      </c>
    </row>
    <row r="1803" spans="1:11" ht="66.75" customHeight="1">
      <c r="A1803" s="1638"/>
      <c r="B1803" s="1779"/>
      <c r="C1803" s="3171" t="s">
        <v>611</v>
      </c>
      <c r="D1803" s="2185" t="s">
        <v>805</v>
      </c>
      <c r="E1803" s="3112">
        <v>2724647</v>
      </c>
      <c r="F1803" s="3112">
        <v>780810</v>
      </c>
      <c r="G1803" s="3167">
        <f>2500309+277512</f>
        <v>2777821</v>
      </c>
      <c r="H1803" s="3113">
        <v>2089779.13</v>
      </c>
      <c r="I1803" s="1769">
        <f t="shared" si="400"/>
        <v>0.75230878087536956</v>
      </c>
    </row>
    <row r="1804" spans="1:11" ht="59.25" customHeight="1" thickBot="1">
      <c r="A1804" s="1638"/>
      <c r="B1804" s="1779"/>
      <c r="C1804" s="1659" t="s">
        <v>528</v>
      </c>
      <c r="D1804" s="2930" t="s">
        <v>805</v>
      </c>
      <c r="E1804" s="3130">
        <v>508204</v>
      </c>
      <c r="F1804" s="3130">
        <v>139526</v>
      </c>
      <c r="G1804" s="1881">
        <f>466361+41884</f>
        <v>508245</v>
      </c>
      <c r="H1804" s="2931">
        <v>379909.77</v>
      </c>
      <c r="I1804" s="1769">
        <f t="shared" si="400"/>
        <v>0.74749337425847773</v>
      </c>
      <c r="J1804" s="1798">
        <f>SUM(G1795,G1804)</f>
        <v>2409859</v>
      </c>
      <c r="K1804" s="1639">
        <f>SUM(H1795,H1804)</f>
        <v>2096309.32</v>
      </c>
    </row>
    <row r="1805" spans="1:11" ht="61.5" customHeight="1" thickBot="1">
      <c r="A1805" s="1614"/>
      <c r="B1805" s="1779"/>
      <c r="C1805" s="3172" t="s">
        <v>495</v>
      </c>
      <c r="D1805" s="3173" t="s">
        <v>898</v>
      </c>
      <c r="E1805" s="3130"/>
      <c r="F1805" s="3130">
        <v>0</v>
      </c>
      <c r="G1805" s="1881">
        <f>7788</f>
        <v>7788</v>
      </c>
      <c r="H1805" s="2931">
        <v>7787.47</v>
      </c>
      <c r="I1805" s="3174">
        <f t="shared" si="400"/>
        <v>0.99993194658448903</v>
      </c>
      <c r="J1805" s="1798"/>
    </row>
    <row r="1806" spans="1:11" ht="49.5" customHeight="1" thickBot="1">
      <c r="A1806" s="1614"/>
      <c r="B1806" s="1779"/>
      <c r="C1806" s="2948" t="s">
        <v>634</v>
      </c>
      <c r="D1806" s="3175" t="s">
        <v>898</v>
      </c>
      <c r="E1806" s="3130"/>
      <c r="F1806" s="3130">
        <v>0</v>
      </c>
      <c r="G1806" s="1881">
        <f>1453</f>
        <v>1453</v>
      </c>
      <c r="H1806" s="2931">
        <v>1452.53</v>
      </c>
      <c r="I1806" s="3174">
        <f t="shared" si="400"/>
        <v>0.99967653131452161</v>
      </c>
      <c r="J1806" s="1798">
        <f>G1806+G1797</f>
        <v>3151</v>
      </c>
      <c r="K1806" s="1639">
        <f>H1806+H1797</f>
        <v>3150.42</v>
      </c>
    </row>
    <row r="1807" spans="1:11" ht="18.75" customHeight="1" thickBot="1">
      <c r="A1807" s="1614"/>
      <c r="B1807" s="1779"/>
      <c r="C1807" s="3172" t="s">
        <v>675</v>
      </c>
      <c r="D1807" s="3176" t="s">
        <v>858</v>
      </c>
      <c r="E1807" s="3112">
        <v>3410</v>
      </c>
      <c r="F1807" s="3112">
        <v>0</v>
      </c>
      <c r="G1807" s="3019">
        <f>37154</f>
        <v>37154</v>
      </c>
      <c r="H1807" s="3113">
        <v>37153.589999999997</v>
      </c>
      <c r="I1807" s="3174">
        <f t="shared" si="400"/>
        <v>0.99998896484900679</v>
      </c>
    </row>
    <row r="1808" spans="1:11" ht="18.75" customHeight="1">
      <c r="A1808" s="1614"/>
      <c r="B1808" s="1779"/>
      <c r="C1808" s="3177" t="s">
        <v>635</v>
      </c>
      <c r="D1808" s="3176" t="s">
        <v>858</v>
      </c>
      <c r="E1808" s="3112"/>
      <c r="F1808" s="3112">
        <v>0</v>
      </c>
      <c r="G1808" s="3019">
        <f>6931</f>
        <v>6931</v>
      </c>
      <c r="H1808" s="3113">
        <v>6929.92</v>
      </c>
      <c r="I1808" s="3174">
        <f t="shared" si="400"/>
        <v>0.99984417832924544</v>
      </c>
      <c r="J1808" s="1798">
        <f>G1808+G1798</f>
        <v>242274</v>
      </c>
      <c r="K1808" s="1639">
        <f>H1808+H1798</f>
        <v>242270.31</v>
      </c>
    </row>
    <row r="1809" spans="1:9" hidden="1">
      <c r="A1809" s="1614"/>
      <c r="B1809" s="1779"/>
      <c r="C1809" s="3178" t="s">
        <v>1126</v>
      </c>
      <c r="D1809" s="3170" t="s">
        <v>977</v>
      </c>
      <c r="E1809" s="3112">
        <v>4500</v>
      </c>
      <c r="F1809" s="3112">
        <v>0</v>
      </c>
      <c r="G1809" s="3167"/>
      <c r="H1809" s="3113"/>
      <c r="I1809" s="1769" t="e">
        <f t="shared" si="400"/>
        <v>#DIV/0!</v>
      </c>
    </row>
    <row r="1810" spans="1:9" hidden="1">
      <c r="A1810" s="1614"/>
      <c r="B1810" s="1779"/>
      <c r="C1810" s="3179" t="s">
        <v>976</v>
      </c>
      <c r="D1810" s="3170" t="s">
        <v>977</v>
      </c>
      <c r="E1810" s="3112"/>
      <c r="F1810" s="3112">
        <v>0</v>
      </c>
      <c r="G1810" s="3167"/>
      <c r="H1810" s="3113"/>
      <c r="I1810" s="1769" t="e">
        <f t="shared" si="400"/>
        <v>#DIV/0!</v>
      </c>
    </row>
    <row r="1811" spans="1:9" hidden="1">
      <c r="A1811" s="1614"/>
      <c r="B1811" s="1779"/>
      <c r="C1811" s="3179" t="s">
        <v>978</v>
      </c>
      <c r="D1811" s="3170" t="s">
        <v>977</v>
      </c>
      <c r="E1811" s="3112"/>
      <c r="F1811" s="3112">
        <v>0</v>
      </c>
      <c r="G1811" s="3167"/>
      <c r="H1811" s="3113"/>
      <c r="I1811" s="1769" t="e">
        <f t="shared" si="400"/>
        <v>#DIV/0!</v>
      </c>
    </row>
    <row r="1812" spans="1:9" ht="18" customHeight="1">
      <c r="A1812" s="1614"/>
      <c r="B1812" s="1779"/>
      <c r="C1812" s="3169" t="s">
        <v>859</v>
      </c>
      <c r="D1812" s="3170" t="s">
        <v>763</v>
      </c>
      <c r="E1812" s="3112">
        <v>446118</v>
      </c>
      <c r="F1812" s="3112">
        <v>472304</v>
      </c>
      <c r="G1812" s="3167">
        <f>258882+256131+97317</f>
        <v>612330</v>
      </c>
      <c r="H1812" s="3113">
        <v>592247.03</v>
      </c>
      <c r="I1812" s="1769">
        <f t="shared" si="400"/>
        <v>0.96720237453660607</v>
      </c>
    </row>
    <row r="1813" spans="1:9" ht="18" hidden="1" customHeight="1">
      <c r="A1813" s="1614"/>
      <c r="B1813" s="1779"/>
      <c r="C1813" s="3169" t="s">
        <v>807</v>
      </c>
      <c r="D1813" s="3170" t="s">
        <v>763</v>
      </c>
      <c r="E1813" s="3112">
        <v>77453</v>
      </c>
      <c r="F1813" s="3112">
        <v>0</v>
      </c>
      <c r="G1813" s="3167">
        <v>0</v>
      </c>
      <c r="H1813" s="3113">
        <v>0</v>
      </c>
      <c r="I1813" s="1769" t="e">
        <f t="shared" si="400"/>
        <v>#DIV/0!</v>
      </c>
    </row>
    <row r="1814" spans="1:9" ht="18" customHeight="1">
      <c r="A1814" s="4716"/>
      <c r="B1814" s="4687"/>
      <c r="C1814" s="3171" t="s">
        <v>808</v>
      </c>
      <c r="D1814" s="3180" t="s">
        <v>763</v>
      </c>
      <c r="E1814" s="3112">
        <v>160287</v>
      </c>
      <c r="F1814" s="3112">
        <v>131799</v>
      </c>
      <c r="G1814" s="3167">
        <f>91858+47849+18151</f>
        <v>157858</v>
      </c>
      <c r="H1814" s="3113">
        <v>155127.82999999999</v>
      </c>
      <c r="I1814" s="1769">
        <f t="shared" si="400"/>
        <v>0.98270489933991301</v>
      </c>
    </row>
    <row r="1815" spans="1:9" ht="18" customHeight="1">
      <c r="A1815" s="4716"/>
      <c r="B1815" s="4687"/>
      <c r="C1815" s="1659" t="s">
        <v>860</v>
      </c>
      <c r="D1815" s="1660" t="s">
        <v>764</v>
      </c>
      <c r="E1815" s="3130">
        <v>43538</v>
      </c>
      <c r="F1815" s="3130">
        <v>36871</v>
      </c>
      <c r="G1815" s="1881">
        <f>23384+9769+2938</f>
        <v>36091</v>
      </c>
      <c r="H1815" s="2931">
        <v>32538.75</v>
      </c>
      <c r="I1815" s="1769">
        <f t="shared" si="400"/>
        <v>0.90157518494915634</v>
      </c>
    </row>
    <row r="1816" spans="1:9" ht="18" customHeight="1">
      <c r="A1816" s="1614"/>
      <c r="B1816" s="1779"/>
      <c r="C1816" s="3169" t="s">
        <v>809</v>
      </c>
      <c r="D1816" s="3170" t="s">
        <v>764</v>
      </c>
      <c r="E1816" s="3112">
        <v>43538</v>
      </c>
      <c r="F1816" s="3112">
        <v>0</v>
      </c>
      <c r="G1816" s="3167"/>
      <c r="H1816" s="3113"/>
      <c r="I1816" s="1769"/>
    </row>
    <row r="1817" spans="1:9" ht="18" customHeight="1" thickBot="1">
      <c r="A1817" s="1644"/>
      <c r="B1817" s="1791"/>
      <c r="C1817" s="3181" t="s">
        <v>810</v>
      </c>
      <c r="D1817" s="3182" t="s">
        <v>764</v>
      </c>
      <c r="E1817" s="1678">
        <v>2053</v>
      </c>
      <c r="F1817" s="1678">
        <v>2516</v>
      </c>
      <c r="G1817" s="3183">
        <f>1823+548</f>
        <v>2371</v>
      </c>
      <c r="H1817" s="1747">
        <v>2369.98</v>
      </c>
      <c r="I1817" s="1651">
        <f t="shared" si="400"/>
        <v>0.99956980177140453</v>
      </c>
    </row>
    <row r="1818" spans="1:9" ht="18" customHeight="1">
      <c r="A1818" s="1614"/>
      <c r="B1818" s="1779"/>
      <c r="C1818" s="1659" t="s">
        <v>861</v>
      </c>
      <c r="D1818" s="1660" t="s">
        <v>765</v>
      </c>
      <c r="E1818" s="3130">
        <v>86058</v>
      </c>
      <c r="F1818" s="3130">
        <v>90571</v>
      </c>
      <c r="G1818" s="1881">
        <f>49845+49489+16910</f>
        <v>116244</v>
      </c>
      <c r="H1818" s="2931">
        <v>108114.83</v>
      </c>
      <c r="I1818" s="1769">
        <f t="shared" si="400"/>
        <v>0.93006804652283126</v>
      </c>
    </row>
    <row r="1819" spans="1:9" ht="18" customHeight="1">
      <c r="A1819" s="1614"/>
      <c r="B1819" s="1779"/>
      <c r="C1819" s="3184" t="s">
        <v>811</v>
      </c>
      <c r="D1819" s="3185" t="s">
        <v>765</v>
      </c>
      <c r="E1819" s="3186">
        <v>13113</v>
      </c>
      <c r="F1819" s="3186">
        <v>0</v>
      </c>
      <c r="G1819" s="2166"/>
      <c r="H1819" s="3187"/>
      <c r="I1819" s="1725"/>
    </row>
    <row r="1820" spans="1:9" ht="18" customHeight="1">
      <c r="A1820" s="1614"/>
      <c r="B1820" s="1779"/>
      <c r="C1820" s="3131" t="s">
        <v>812</v>
      </c>
      <c r="D1820" s="3132" t="s">
        <v>765</v>
      </c>
      <c r="E1820" s="3112">
        <v>28263</v>
      </c>
      <c r="F1820" s="3112">
        <v>23477</v>
      </c>
      <c r="G1820" s="3019">
        <f>16077+9167+3154</f>
        <v>28398</v>
      </c>
      <c r="H1820" s="3113">
        <v>26987.46</v>
      </c>
      <c r="I1820" s="3079">
        <f t="shared" ref="I1820:I1885" si="405">H1820/G1820</f>
        <v>0.95032960067610395</v>
      </c>
    </row>
    <row r="1821" spans="1:9" ht="29.25" customHeight="1">
      <c r="A1821" s="1614"/>
      <c r="B1821" s="1779"/>
      <c r="C1821" s="1659" t="s">
        <v>862</v>
      </c>
      <c r="D1821" s="1660" t="s">
        <v>766</v>
      </c>
      <c r="E1821" s="3130">
        <v>12455</v>
      </c>
      <c r="F1821" s="3130">
        <v>13111</v>
      </c>
      <c r="G1821" s="1881">
        <f>7217+7163+2420</f>
        <v>16800</v>
      </c>
      <c r="H1821" s="2931">
        <v>13920.94</v>
      </c>
      <c r="I1821" s="1769">
        <f t="shared" si="405"/>
        <v>0.82862738095238098</v>
      </c>
    </row>
    <row r="1822" spans="1:9" ht="27.75" hidden="1" customHeight="1">
      <c r="A1822" s="1614"/>
      <c r="B1822" s="1779"/>
      <c r="C1822" s="3169" t="s">
        <v>813</v>
      </c>
      <c r="D1822" s="3170" t="s">
        <v>766</v>
      </c>
      <c r="E1822" s="3112">
        <v>1897</v>
      </c>
      <c r="F1822" s="3112">
        <v>0</v>
      </c>
      <c r="G1822" s="3019">
        <v>0</v>
      </c>
      <c r="H1822" s="3113">
        <v>0</v>
      </c>
      <c r="I1822" s="1769" t="e">
        <f t="shared" si="405"/>
        <v>#DIV/0!</v>
      </c>
    </row>
    <row r="1823" spans="1:9" ht="31.5" customHeight="1">
      <c r="A1823" s="1614"/>
      <c r="B1823" s="1779"/>
      <c r="C1823" s="3169" t="s">
        <v>814</v>
      </c>
      <c r="D1823" s="3170" t="s">
        <v>766</v>
      </c>
      <c r="E1823" s="3112">
        <v>5188</v>
      </c>
      <c r="F1823" s="3112">
        <v>3397</v>
      </c>
      <c r="G1823" s="3019">
        <f>2325+1326+451</f>
        <v>4102</v>
      </c>
      <c r="H1823" s="3113">
        <v>3694.68</v>
      </c>
      <c r="I1823" s="1769">
        <f t="shared" si="405"/>
        <v>0.90070209653827393</v>
      </c>
    </row>
    <row r="1824" spans="1:9" ht="18" customHeight="1">
      <c r="A1824" s="1614"/>
      <c r="B1824" s="1779"/>
      <c r="C1824" s="3171" t="s">
        <v>962</v>
      </c>
      <c r="D1824" s="3180" t="s">
        <v>767</v>
      </c>
      <c r="E1824" s="3112">
        <v>297034</v>
      </c>
      <c r="F1824" s="3112">
        <v>95547</v>
      </c>
      <c r="G1824" s="3167">
        <f>25000+70547</f>
        <v>95547</v>
      </c>
      <c r="H1824" s="3113">
        <v>84226.51</v>
      </c>
      <c r="I1824" s="1769">
        <f t="shared" si="405"/>
        <v>0.88151914764461459</v>
      </c>
    </row>
    <row r="1825" spans="1:9" ht="18" customHeight="1">
      <c r="A1825" s="1614"/>
      <c r="B1825" s="1779"/>
      <c r="C1825" s="1659" t="s">
        <v>816</v>
      </c>
      <c r="D1825" s="1660" t="s">
        <v>767</v>
      </c>
      <c r="E1825" s="3130">
        <v>52270</v>
      </c>
      <c r="F1825" s="3130">
        <v>13159</v>
      </c>
      <c r="G1825" s="1881">
        <f>13159</f>
        <v>13159</v>
      </c>
      <c r="H1825" s="2931">
        <v>13092.85</v>
      </c>
      <c r="I1825" s="1769">
        <f t="shared" si="405"/>
        <v>0.99497302226612971</v>
      </c>
    </row>
    <row r="1826" spans="1:9" ht="18" customHeight="1">
      <c r="A1826" s="1614"/>
      <c r="B1826" s="1779"/>
      <c r="C1826" s="3169" t="s">
        <v>863</v>
      </c>
      <c r="D1826" s="3170" t="s">
        <v>771</v>
      </c>
      <c r="E1826" s="3112">
        <v>9902</v>
      </c>
      <c r="F1826" s="3112">
        <v>3790</v>
      </c>
      <c r="G1826" s="3167">
        <f>8175+16013</f>
        <v>24188</v>
      </c>
      <c r="H1826" s="3113">
        <v>5359.12</v>
      </c>
      <c r="I1826" s="1769">
        <f t="shared" si="405"/>
        <v>0.22156110468000662</v>
      </c>
    </row>
    <row r="1827" spans="1:9" ht="18" hidden="1" customHeight="1">
      <c r="A1827" s="1614"/>
      <c r="B1827" s="1779"/>
      <c r="C1827" s="3169" t="s">
        <v>820</v>
      </c>
      <c r="D1827" s="3170" t="s">
        <v>771</v>
      </c>
      <c r="E1827" s="3112">
        <v>3400</v>
      </c>
      <c r="F1827" s="3112">
        <v>0</v>
      </c>
      <c r="G1827" s="3167">
        <v>0</v>
      </c>
      <c r="H1827" s="3113">
        <v>0</v>
      </c>
      <c r="I1827" s="1769" t="e">
        <f t="shared" si="405"/>
        <v>#DIV/0!</v>
      </c>
    </row>
    <row r="1828" spans="1:9" ht="18" customHeight="1">
      <c r="A1828" s="1614"/>
      <c r="B1828" s="1779"/>
      <c r="C1828" s="3169" t="s">
        <v>821</v>
      </c>
      <c r="D1828" s="3170" t="s">
        <v>771</v>
      </c>
      <c r="E1828" s="3112">
        <v>1701</v>
      </c>
      <c r="F1828" s="3112">
        <v>0</v>
      </c>
      <c r="G1828" s="3167">
        <f>2987</f>
        <v>2987</v>
      </c>
      <c r="H1828" s="3113">
        <v>0</v>
      </c>
      <c r="I1828" s="1769">
        <f t="shared" si="405"/>
        <v>0</v>
      </c>
    </row>
    <row r="1829" spans="1:9" ht="18" hidden="1" customHeight="1">
      <c r="A1829" s="1614"/>
      <c r="B1829" s="1779"/>
      <c r="C1829" s="3169" t="s">
        <v>1076</v>
      </c>
      <c r="D1829" s="3170" t="s">
        <v>772</v>
      </c>
      <c r="E1829" s="3112">
        <v>1037</v>
      </c>
      <c r="F1829" s="3112">
        <v>0</v>
      </c>
      <c r="G1829" s="3167">
        <v>0</v>
      </c>
      <c r="H1829" s="3113">
        <v>0</v>
      </c>
      <c r="I1829" s="1769" t="e">
        <f t="shared" si="405"/>
        <v>#DIV/0!</v>
      </c>
    </row>
    <row r="1830" spans="1:9" ht="18" hidden="1" customHeight="1">
      <c r="A1830" s="1614"/>
      <c r="B1830" s="1779"/>
      <c r="C1830" s="3169" t="s">
        <v>1005</v>
      </c>
      <c r="D1830" s="3170" t="s">
        <v>772</v>
      </c>
      <c r="E1830" s="3112">
        <v>194</v>
      </c>
      <c r="F1830" s="3112">
        <v>0</v>
      </c>
      <c r="G1830" s="3167">
        <v>0</v>
      </c>
      <c r="H1830" s="3113">
        <v>0</v>
      </c>
      <c r="I1830" s="1769" t="e">
        <f t="shared" si="405"/>
        <v>#DIV/0!</v>
      </c>
    </row>
    <row r="1831" spans="1:9" ht="18" hidden="1" customHeight="1" thickBot="1">
      <c r="A1831" s="1644"/>
      <c r="B1831" s="1791"/>
      <c r="C1831" s="3181" t="s">
        <v>1006</v>
      </c>
      <c r="D1831" s="3182" t="s">
        <v>773</v>
      </c>
      <c r="E1831" s="1678">
        <v>1879</v>
      </c>
      <c r="F1831" s="1678">
        <v>0</v>
      </c>
      <c r="G1831" s="3167">
        <v>0</v>
      </c>
      <c r="H1831" s="3113">
        <v>0</v>
      </c>
      <c r="I1831" s="1651" t="e">
        <f t="shared" si="405"/>
        <v>#DIV/0!</v>
      </c>
    </row>
    <row r="1832" spans="1:9" ht="18" hidden="1" customHeight="1">
      <c r="A1832" s="3188"/>
      <c r="B1832" s="3189"/>
      <c r="C1832" s="3190" t="s">
        <v>980</v>
      </c>
      <c r="D1832" s="3191" t="s">
        <v>773</v>
      </c>
      <c r="E1832" s="3192">
        <v>351</v>
      </c>
      <c r="F1832" s="3192">
        <v>0</v>
      </c>
      <c r="G1832" s="3167">
        <v>0</v>
      </c>
      <c r="H1832" s="3113">
        <v>0</v>
      </c>
      <c r="I1832" s="3174" t="e">
        <f t="shared" si="405"/>
        <v>#DIV/0!</v>
      </c>
    </row>
    <row r="1833" spans="1:9" ht="18" hidden="1" customHeight="1">
      <c r="A1833" s="1614"/>
      <c r="B1833" s="1779"/>
      <c r="C1833" s="3169" t="s">
        <v>1127</v>
      </c>
      <c r="D1833" s="3170" t="s">
        <v>774</v>
      </c>
      <c r="E1833" s="3112"/>
      <c r="F1833" s="3112"/>
      <c r="G1833" s="3167">
        <v>0</v>
      </c>
      <c r="H1833" s="3113">
        <v>0</v>
      </c>
      <c r="I1833" s="1769" t="e">
        <f t="shared" si="405"/>
        <v>#DIV/0!</v>
      </c>
    </row>
    <row r="1834" spans="1:9" ht="18" hidden="1" customHeight="1">
      <c r="A1834" s="1614"/>
      <c r="B1834" s="1779"/>
      <c r="C1834" s="3169" t="s">
        <v>823</v>
      </c>
      <c r="D1834" s="3170" t="s">
        <v>774</v>
      </c>
      <c r="E1834" s="3112"/>
      <c r="F1834" s="3112"/>
      <c r="G1834" s="3167">
        <v>0</v>
      </c>
      <c r="H1834" s="3113">
        <v>0</v>
      </c>
      <c r="I1834" s="1769" t="e">
        <f t="shared" si="405"/>
        <v>#DIV/0!</v>
      </c>
    </row>
    <row r="1835" spans="1:9" ht="18" hidden="1" customHeight="1">
      <c r="A1835" s="1614"/>
      <c r="B1835" s="1779"/>
      <c r="C1835" s="3169" t="s">
        <v>1128</v>
      </c>
      <c r="D1835" s="3170" t="s">
        <v>775</v>
      </c>
      <c r="E1835" s="3112">
        <v>1517</v>
      </c>
      <c r="F1835" s="3112">
        <v>0</v>
      </c>
      <c r="G1835" s="3167">
        <v>0</v>
      </c>
      <c r="H1835" s="3113">
        <v>0</v>
      </c>
      <c r="I1835" s="1769" t="e">
        <f t="shared" si="405"/>
        <v>#DIV/0!</v>
      </c>
    </row>
    <row r="1836" spans="1:9" ht="18" hidden="1" customHeight="1">
      <c r="A1836" s="1614"/>
      <c r="B1836" s="1779"/>
      <c r="C1836" s="3169" t="s">
        <v>982</v>
      </c>
      <c r="D1836" s="3170" t="s">
        <v>775</v>
      </c>
      <c r="E1836" s="3112">
        <v>283</v>
      </c>
      <c r="F1836" s="3112">
        <v>0</v>
      </c>
      <c r="G1836" s="3167">
        <v>0</v>
      </c>
      <c r="H1836" s="3113">
        <v>0</v>
      </c>
      <c r="I1836" s="1769" t="e">
        <f t="shared" si="405"/>
        <v>#DIV/0!</v>
      </c>
    </row>
    <row r="1837" spans="1:9" ht="18" customHeight="1">
      <c r="A1837" s="1614"/>
      <c r="B1837" s="1779"/>
      <c r="C1837" s="3169" t="s">
        <v>864</v>
      </c>
      <c r="D1837" s="3170" t="s">
        <v>776</v>
      </c>
      <c r="E1837" s="3112">
        <v>757075</v>
      </c>
      <c r="F1837" s="3112">
        <v>479863</v>
      </c>
      <c r="G1837" s="3167">
        <f>351440+120823+112218</f>
        <v>584481</v>
      </c>
      <c r="H1837" s="3113">
        <v>462700.31</v>
      </c>
      <c r="I1837" s="1769">
        <f t="shared" si="405"/>
        <v>0.79164303031236261</v>
      </c>
    </row>
    <row r="1838" spans="1:9" ht="18" hidden="1" customHeight="1">
      <c r="A1838" s="1614"/>
      <c r="B1838" s="1779"/>
      <c r="C1838" s="3169" t="s">
        <v>824</v>
      </c>
      <c r="D1838" s="3170" t="s">
        <v>776</v>
      </c>
      <c r="E1838" s="3112">
        <v>12201</v>
      </c>
      <c r="F1838" s="3112">
        <v>0</v>
      </c>
      <c r="G1838" s="3167">
        <v>0</v>
      </c>
      <c r="H1838" s="3113">
        <v>0</v>
      </c>
      <c r="I1838" s="1769" t="e">
        <f t="shared" si="405"/>
        <v>#DIV/0!</v>
      </c>
    </row>
    <row r="1839" spans="1:9" ht="18" customHeight="1">
      <c r="A1839" s="1614"/>
      <c r="B1839" s="1779"/>
      <c r="C1839" s="3169" t="s">
        <v>825</v>
      </c>
      <c r="D1839" s="3170" t="s">
        <v>776</v>
      </c>
      <c r="E1839" s="3112">
        <v>76051</v>
      </c>
      <c r="F1839" s="3112">
        <v>42532</v>
      </c>
      <c r="G1839" s="3167">
        <f>22536+20930</f>
        <v>43466</v>
      </c>
      <c r="H1839" s="3113">
        <v>30230.32</v>
      </c>
      <c r="I1839" s="1769">
        <f t="shared" si="405"/>
        <v>0.69549348916394427</v>
      </c>
    </row>
    <row r="1840" spans="1:9" ht="18" customHeight="1">
      <c r="A1840" s="1614"/>
      <c r="B1840" s="1779"/>
      <c r="C1840" s="3184" t="s">
        <v>1007</v>
      </c>
      <c r="D1840" s="3185" t="s">
        <v>777</v>
      </c>
      <c r="E1840" s="3112">
        <v>3371</v>
      </c>
      <c r="F1840" s="3112">
        <v>421</v>
      </c>
      <c r="G1840" s="3167">
        <f>210+211</f>
        <v>421</v>
      </c>
      <c r="H1840" s="3113">
        <v>387</v>
      </c>
      <c r="I1840" s="1769">
        <f t="shared" si="405"/>
        <v>0.91923990498812347</v>
      </c>
    </row>
    <row r="1841" spans="1:9" ht="18" customHeight="1">
      <c r="A1841" s="1614"/>
      <c r="B1841" s="1779"/>
      <c r="C1841" s="3184" t="s">
        <v>1008</v>
      </c>
      <c r="D1841" s="3193" t="s">
        <v>777</v>
      </c>
      <c r="E1841" s="3112">
        <v>629</v>
      </c>
      <c r="F1841" s="3112">
        <v>39</v>
      </c>
      <c r="G1841" s="3167">
        <f>39</f>
        <v>39</v>
      </c>
      <c r="H1841" s="3113">
        <v>33</v>
      </c>
      <c r="I1841" s="1769">
        <f t="shared" si="405"/>
        <v>0.84615384615384615</v>
      </c>
    </row>
    <row r="1842" spans="1:9" ht="18" hidden="1" customHeight="1">
      <c r="A1842" s="1614"/>
      <c r="B1842" s="1779"/>
      <c r="C1842" s="3184" t="s">
        <v>918</v>
      </c>
      <c r="D1842" s="1696" t="s">
        <v>917</v>
      </c>
      <c r="E1842" s="3112">
        <v>412</v>
      </c>
      <c r="F1842" s="3112"/>
      <c r="G1842" s="3167"/>
      <c r="H1842" s="3113"/>
      <c r="I1842" s="1769" t="e">
        <f t="shared" si="405"/>
        <v>#DIV/0!</v>
      </c>
    </row>
    <row r="1843" spans="1:9" ht="18" hidden="1" customHeight="1">
      <c r="A1843" s="1614"/>
      <c r="B1843" s="1779"/>
      <c r="C1843" s="3184" t="s">
        <v>919</v>
      </c>
      <c r="D1843" s="3193" t="s">
        <v>917</v>
      </c>
      <c r="E1843" s="3112">
        <v>73</v>
      </c>
      <c r="F1843" s="3112"/>
      <c r="G1843" s="3167"/>
      <c r="H1843" s="3113"/>
      <c r="I1843" s="1769" t="e">
        <f t="shared" si="405"/>
        <v>#DIV/0!</v>
      </c>
    </row>
    <row r="1844" spans="1:9" ht="18" hidden="1" customHeight="1">
      <c r="A1844" s="1614"/>
      <c r="B1844" s="1779"/>
      <c r="C1844" s="3184" t="s">
        <v>865</v>
      </c>
      <c r="D1844" s="3194" t="s">
        <v>778</v>
      </c>
      <c r="E1844" s="3112">
        <v>98824</v>
      </c>
      <c r="F1844" s="3112">
        <v>0</v>
      </c>
      <c r="G1844" s="3167">
        <v>0</v>
      </c>
      <c r="H1844" s="3113">
        <v>0</v>
      </c>
      <c r="I1844" s="1769" t="e">
        <f t="shared" si="405"/>
        <v>#DIV/0!</v>
      </c>
    </row>
    <row r="1845" spans="1:9" ht="18" hidden="1" customHeight="1">
      <c r="A1845" s="1614"/>
      <c r="B1845" s="1779"/>
      <c r="C1845" s="3184" t="s">
        <v>827</v>
      </c>
      <c r="D1845" s="3194" t="s">
        <v>778</v>
      </c>
      <c r="E1845" s="3112">
        <v>5376</v>
      </c>
      <c r="F1845" s="3112">
        <v>0</v>
      </c>
      <c r="G1845" s="3167">
        <v>0</v>
      </c>
      <c r="H1845" s="3113">
        <v>0</v>
      </c>
      <c r="I1845" s="1769" t="e">
        <f t="shared" si="405"/>
        <v>#DIV/0!</v>
      </c>
    </row>
    <row r="1846" spans="1:9" ht="24.75" hidden="1" customHeight="1">
      <c r="A1846" s="1614"/>
      <c r="B1846" s="1779"/>
      <c r="C1846" s="3184" t="s">
        <v>1129</v>
      </c>
      <c r="D1846" s="3195" t="s">
        <v>780</v>
      </c>
      <c r="E1846" s="3112"/>
      <c r="F1846" s="3112"/>
      <c r="G1846" s="3167"/>
      <c r="H1846" s="3113"/>
      <c r="I1846" s="1769" t="e">
        <f t="shared" si="405"/>
        <v>#DIV/0!</v>
      </c>
    </row>
    <row r="1847" spans="1:9" ht="24.75" hidden="1" customHeight="1">
      <c r="A1847" s="1614"/>
      <c r="B1847" s="1779"/>
      <c r="C1847" s="3184" t="s">
        <v>986</v>
      </c>
      <c r="D1847" s="3195" t="s">
        <v>780</v>
      </c>
      <c r="E1847" s="3112"/>
      <c r="F1847" s="3112"/>
      <c r="G1847" s="3167"/>
      <c r="H1847" s="3113"/>
      <c r="I1847" s="1769" t="e">
        <f t="shared" si="405"/>
        <v>#DIV/0!</v>
      </c>
    </row>
    <row r="1848" spans="1:9" ht="18" customHeight="1">
      <c r="A1848" s="1614"/>
      <c r="B1848" s="1779"/>
      <c r="C1848" s="3184" t="s">
        <v>866</v>
      </c>
      <c r="D1848" s="3196" t="s">
        <v>781</v>
      </c>
      <c r="E1848" s="3112">
        <v>23000</v>
      </c>
      <c r="F1848" s="3112">
        <v>2842</v>
      </c>
      <c r="G1848" s="3167">
        <f>2016+968</f>
        <v>2984</v>
      </c>
      <c r="H1848" s="3113">
        <v>1173.19</v>
      </c>
      <c r="I1848" s="1769">
        <f t="shared" si="405"/>
        <v>0.39316018766756033</v>
      </c>
    </row>
    <row r="1849" spans="1:9" ht="18" hidden="1" customHeight="1">
      <c r="A1849" s="1614"/>
      <c r="B1849" s="1779"/>
      <c r="C1849" s="3169" t="s">
        <v>828</v>
      </c>
      <c r="D1849" s="3196" t="s">
        <v>781</v>
      </c>
      <c r="E1849" s="3112">
        <v>757</v>
      </c>
      <c r="F1849" s="3112"/>
      <c r="G1849" s="3167"/>
      <c r="H1849" s="3113"/>
      <c r="I1849" s="1769" t="e">
        <f t="shared" si="405"/>
        <v>#DIV/0!</v>
      </c>
    </row>
    <row r="1850" spans="1:9" ht="18" customHeight="1">
      <c r="A1850" s="1614"/>
      <c r="B1850" s="1779"/>
      <c r="C1850" s="3169" t="s">
        <v>829</v>
      </c>
      <c r="D1850" s="3196" t="s">
        <v>781</v>
      </c>
      <c r="E1850" s="3112">
        <v>3812</v>
      </c>
      <c r="F1850" s="3112">
        <v>342</v>
      </c>
      <c r="G1850" s="3167">
        <f>180</f>
        <v>180</v>
      </c>
      <c r="H1850" s="3113">
        <v>161.16</v>
      </c>
      <c r="I1850" s="1769">
        <f t="shared" si="405"/>
        <v>0.89533333333333331</v>
      </c>
    </row>
    <row r="1851" spans="1:9" ht="18" hidden="1" customHeight="1">
      <c r="A1851" s="1614"/>
      <c r="B1851" s="1779"/>
      <c r="C1851" s="3169" t="s">
        <v>920</v>
      </c>
      <c r="D1851" s="3196" t="s">
        <v>900</v>
      </c>
      <c r="E1851" s="3112">
        <v>11050</v>
      </c>
      <c r="F1851" s="3112">
        <v>0</v>
      </c>
      <c r="G1851" s="3167">
        <v>0</v>
      </c>
      <c r="H1851" s="3113">
        <v>0</v>
      </c>
      <c r="I1851" s="1769" t="e">
        <f t="shared" si="405"/>
        <v>#DIV/0!</v>
      </c>
    </row>
    <row r="1852" spans="1:9" ht="18" hidden="1" customHeight="1">
      <c r="A1852" s="1614"/>
      <c r="B1852" s="1779"/>
      <c r="C1852" s="3171" t="s">
        <v>921</v>
      </c>
      <c r="D1852" s="3195" t="s">
        <v>900</v>
      </c>
      <c r="E1852" s="3112">
        <v>1950</v>
      </c>
      <c r="F1852" s="3112">
        <v>0</v>
      </c>
      <c r="G1852" s="3019">
        <v>0</v>
      </c>
      <c r="H1852" s="3113">
        <v>0</v>
      </c>
      <c r="I1852" s="1769" t="e">
        <f t="shared" si="405"/>
        <v>#DIV/0!</v>
      </c>
    </row>
    <row r="1853" spans="1:9" ht="18" customHeight="1">
      <c r="A1853" s="1614"/>
      <c r="B1853" s="1779"/>
      <c r="C1853" s="3197" t="s">
        <v>1130</v>
      </c>
      <c r="D1853" s="1905" t="s">
        <v>783</v>
      </c>
      <c r="E1853" s="3137">
        <v>6108</v>
      </c>
      <c r="F1853" s="3137">
        <v>4019</v>
      </c>
      <c r="G1853" s="1881">
        <f>6195+1307</f>
        <v>7502</v>
      </c>
      <c r="H1853" s="3138">
        <v>7499.64</v>
      </c>
      <c r="I1853" s="1769">
        <f t="shared" si="405"/>
        <v>0.99968541722207416</v>
      </c>
    </row>
    <row r="1854" spans="1:9" ht="18" customHeight="1">
      <c r="A1854" s="1614"/>
      <c r="B1854" s="1779"/>
      <c r="C1854" s="3197" t="s">
        <v>1131</v>
      </c>
      <c r="D1854" s="1905" t="s">
        <v>783</v>
      </c>
      <c r="E1854" s="3112">
        <v>1139</v>
      </c>
      <c r="F1854" s="3112">
        <v>750</v>
      </c>
      <c r="G1854" s="3019">
        <f>1156+244</f>
        <v>1400</v>
      </c>
      <c r="H1854" s="3113">
        <v>1398.86</v>
      </c>
      <c r="I1854" s="1769">
        <f t="shared" si="405"/>
        <v>0.99918571428571423</v>
      </c>
    </row>
    <row r="1855" spans="1:9" ht="18" hidden="1" customHeight="1">
      <c r="A1855" s="1614"/>
      <c r="B1855" s="1779"/>
      <c r="C1855" s="3197" t="s">
        <v>1132</v>
      </c>
      <c r="D1855" s="1905" t="s">
        <v>784</v>
      </c>
      <c r="E1855" s="3112">
        <v>843</v>
      </c>
      <c r="F1855" s="3112">
        <v>0</v>
      </c>
      <c r="G1855" s="3019">
        <v>0</v>
      </c>
      <c r="H1855" s="3113">
        <v>0</v>
      </c>
      <c r="I1855" s="1769" t="e">
        <f t="shared" si="405"/>
        <v>#DIV/0!</v>
      </c>
    </row>
    <row r="1856" spans="1:9" ht="18" hidden="1" customHeight="1">
      <c r="A1856" s="1614"/>
      <c r="B1856" s="1779"/>
      <c r="C1856" s="3197" t="s">
        <v>1133</v>
      </c>
      <c r="D1856" s="1905" t="s">
        <v>784</v>
      </c>
      <c r="E1856" s="3112">
        <v>157</v>
      </c>
      <c r="F1856" s="3112">
        <v>0</v>
      </c>
      <c r="G1856" s="3019">
        <v>0</v>
      </c>
      <c r="H1856" s="3113">
        <v>0</v>
      </c>
      <c r="I1856" s="1769" t="e">
        <f t="shared" si="405"/>
        <v>#DIV/0!</v>
      </c>
    </row>
    <row r="1857" spans="1:9" ht="18" hidden="1" customHeight="1">
      <c r="A1857" s="1614"/>
      <c r="B1857" s="1779"/>
      <c r="C1857" s="3197" t="s">
        <v>1134</v>
      </c>
      <c r="D1857" s="1905" t="s">
        <v>787</v>
      </c>
      <c r="E1857" s="3112">
        <v>843</v>
      </c>
      <c r="F1857" s="3112">
        <v>0</v>
      </c>
      <c r="G1857" s="3019">
        <v>0</v>
      </c>
      <c r="H1857" s="3113">
        <v>0</v>
      </c>
      <c r="I1857" s="1769" t="e">
        <f t="shared" si="405"/>
        <v>#DIV/0!</v>
      </c>
    </row>
    <row r="1858" spans="1:9" ht="18" hidden="1" customHeight="1">
      <c r="A1858" s="1614"/>
      <c r="B1858" s="1779"/>
      <c r="C1858" s="3197" t="s">
        <v>988</v>
      </c>
      <c r="D1858" s="1905" t="s">
        <v>787</v>
      </c>
      <c r="E1858" s="3112">
        <v>157</v>
      </c>
      <c r="F1858" s="3112">
        <v>0</v>
      </c>
      <c r="G1858" s="3019">
        <v>0</v>
      </c>
      <c r="H1858" s="3113">
        <v>0</v>
      </c>
      <c r="I1858" s="1769" t="e">
        <f t="shared" si="405"/>
        <v>#DIV/0!</v>
      </c>
    </row>
    <row r="1859" spans="1:9" ht="54" customHeight="1">
      <c r="A1859" s="1614"/>
      <c r="B1859" s="1779"/>
      <c r="C1859" s="3162" t="s">
        <v>832</v>
      </c>
      <c r="D1859" s="3084" t="s">
        <v>833</v>
      </c>
      <c r="E1859" s="3112">
        <v>384</v>
      </c>
      <c r="F1859" s="3112">
        <v>0</v>
      </c>
      <c r="G1859" s="3019">
        <v>2080</v>
      </c>
      <c r="H1859" s="3113">
        <v>2077</v>
      </c>
      <c r="I1859" s="1769">
        <f t="shared" si="405"/>
        <v>0.99855769230769231</v>
      </c>
    </row>
    <row r="1860" spans="1:9" ht="26.25" hidden="1" customHeight="1">
      <c r="A1860" s="1614"/>
      <c r="B1860" s="1779"/>
      <c r="C1860" s="3162" t="s">
        <v>867</v>
      </c>
      <c r="D1860" s="3084" t="s">
        <v>790</v>
      </c>
      <c r="E1860" s="3112">
        <v>2107</v>
      </c>
      <c r="F1860" s="3112">
        <v>0</v>
      </c>
      <c r="G1860" s="3019">
        <v>0</v>
      </c>
      <c r="H1860" s="3113">
        <v>0</v>
      </c>
      <c r="I1860" s="1769" t="e">
        <f t="shared" si="405"/>
        <v>#DIV/0!</v>
      </c>
    </row>
    <row r="1861" spans="1:9" ht="26.25" hidden="1" customHeight="1">
      <c r="A1861" s="1614"/>
      <c r="B1861" s="1779"/>
      <c r="C1861" s="3162" t="s">
        <v>835</v>
      </c>
      <c r="D1861" s="3084" t="s">
        <v>790</v>
      </c>
      <c r="E1861" s="3112">
        <v>393</v>
      </c>
      <c r="F1861" s="3112">
        <v>0</v>
      </c>
      <c r="G1861" s="3019">
        <v>0</v>
      </c>
      <c r="H1861" s="3113">
        <v>0</v>
      </c>
      <c r="I1861" s="1769" t="e">
        <f t="shared" si="405"/>
        <v>#DIV/0!</v>
      </c>
    </row>
    <row r="1862" spans="1:9" ht="26.25" customHeight="1">
      <c r="A1862" s="1614"/>
      <c r="B1862" s="1779"/>
      <c r="C1862" s="3162" t="s">
        <v>868</v>
      </c>
      <c r="D1862" s="3084" t="s">
        <v>768</v>
      </c>
      <c r="E1862" s="3112"/>
      <c r="F1862" s="3112">
        <v>0</v>
      </c>
      <c r="G1862" s="3019">
        <f>4887+3254+1135</f>
        <v>9276</v>
      </c>
      <c r="H1862" s="3113">
        <v>6116.39</v>
      </c>
      <c r="I1862" s="1769">
        <f t="shared" si="405"/>
        <v>0.65937796463993104</v>
      </c>
    </row>
    <row r="1863" spans="1:9" ht="24.75" customHeight="1">
      <c r="A1863" s="4716"/>
      <c r="B1863" s="4687"/>
      <c r="C1863" s="3162" t="s">
        <v>837</v>
      </c>
      <c r="D1863" s="3084" t="s">
        <v>768</v>
      </c>
      <c r="E1863" s="3112">
        <v>393</v>
      </c>
      <c r="F1863" s="3112">
        <v>0</v>
      </c>
      <c r="G1863" s="3019">
        <f>1061+606+212</f>
        <v>1879</v>
      </c>
      <c r="H1863" s="3113">
        <v>1351.34</v>
      </c>
      <c r="I1863" s="3079">
        <f t="shared" si="405"/>
        <v>0.71918041511442254</v>
      </c>
    </row>
    <row r="1864" spans="1:9" ht="17.100000000000001" customHeight="1" thickBot="1">
      <c r="A1864" s="4675"/>
      <c r="B1864" s="4645"/>
      <c r="C1864" s="2272"/>
      <c r="D1864" s="1887"/>
      <c r="E1864" s="2271"/>
      <c r="F1864" s="2271"/>
      <c r="G1864" s="1967"/>
      <c r="H1864" s="1815"/>
      <c r="I1864" s="1651"/>
    </row>
    <row r="1865" spans="1:9" ht="17.100000000000001" customHeight="1">
      <c r="A1865" s="1614"/>
      <c r="B1865" s="1779"/>
      <c r="C1865" s="4635" t="s">
        <v>793</v>
      </c>
      <c r="D1865" s="4635"/>
      <c r="E1865" s="3198">
        <f>E1866</f>
        <v>933850</v>
      </c>
      <c r="F1865" s="3198">
        <f t="shared" ref="F1865:H1865" si="406">F1866</f>
        <v>762789</v>
      </c>
      <c r="G1865" s="2669">
        <f t="shared" si="406"/>
        <v>140349</v>
      </c>
      <c r="H1865" s="3199">
        <f t="shared" si="406"/>
        <v>133070.41</v>
      </c>
      <c r="I1865" s="1780">
        <f t="shared" si="405"/>
        <v>0.94813935261384119</v>
      </c>
    </row>
    <row r="1866" spans="1:9" ht="17.100000000000001" customHeight="1">
      <c r="A1866" s="1614"/>
      <c r="B1866" s="1779"/>
      <c r="C1866" s="4748" t="s">
        <v>903</v>
      </c>
      <c r="D1866" s="4748"/>
      <c r="E1866" s="3186">
        <f t="shared" ref="E1866:F1866" si="407">SUM(E1867:E1872)</f>
        <v>933850</v>
      </c>
      <c r="F1866" s="3186">
        <f t="shared" si="407"/>
        <v>762789</v>
      </c>
      <c r="G1866" s="3200">
        <f>SUM(G1867:G1872)</f>
        <v>140349</v>
      </c>
      <c r="H1866" s="3187">
        <f t="shared" ref="H1866" si="408">SUM(H1867:H1872)</f>
        <v>133070.41</v>
      </c>
      <c r="I1866" s="1769">
        <f t="shared" si="405"/>
        <v>0.94813935261384119</v>
      </c>
    </row>
    <row r="1867" spans="1:9" ht="54" hidden="1" customHeight="1">
      <c r="A1867" s="1614"/>
      <c r="B1867" s="1779"/>
      <c r="C1867" s="3201" t="s">
        <v>870</v>
      </c>
      <c r="D1867" s="3170" t="s">
        <v>877</v>
      </c>
      <c r="E1867" s="3202">
        <v>283516</v>
      </c>
      <c r="F1867" s="3202">
        <v>0</v>
      </c>
      <c r="G1867" s="3167">
        <v>0</v>
      </c>
      <c r="H1867" s="3113">
        <v>0</v>
      </c>
      <c r="I1867" s="1769" t="e">
        <f t="shared" si="405"/>
        <v>#DIV/0!</v>
      </c>
    </row>
    <row r="1868" spans="1:9" ht="51.75" customHeight="1">
      <c r="A1868" s="1614"/>
      <c r="B1868" s="1779"/>
      <c r="C1868" s="3201" t="s">
        <v>872</v>
      </c>
      <c r="D1868" s="3170" t="s">
        <v>877</v>
      </c>
      <c r="E1868" s="3202">
        <v>283516</v>
      </c>
      <c r="F1868" s="3202">
        <v>523094</v>
      </c>
      <c r="G1868" s="3167">
        <v>79509</v>
      </c>
      <c r="H1868" s="3113">
        <v>72696.639999999999</v>
      </c>
      <c r="I1868" s="1769">
        <f t="shared" si="405"/>
        <v>0.91431963677068007</v>
      </c>
    </row>
    <row r="1869" spans="1:9" ht="68.25" hidden="1" customHeight="1">
      <c r="A1869" s="1614"/>
      <c r="B1869" s="1779"/>
      <c r="C1869" s="3203" t="s">
        <v>894</v>
      </c>
      <c r="D1869" s="3204" t="s">
        <v>874</v>
      </c>
      <c r="E1869" s="3205">
        <v>152006</v>
      </c>
      <c r="F1869" s="3205">
        <v>0</v>
      </c>
      <c r="G1869" s="3167">
        <v>0</v>
      </c>
      <c r="H1869" s="3113">
        <v>0</v>
      </c>
      <c r="I1869" s="1769" t="e">
        <f t="shared" si="405"/>
        <v>#DIV/0!</v>
      </c>
    </row>
    <row r="1870" spans="1:9" ht="65.25" customHeight="1">
      <c r="A1870" s="1614"/>
      <c r="B1870" s="1779"/>
      <c r="C1870" s="3203" t="s">
        <v>873</v>
      </c>
      <c r="D1870" s="3204" t="s">
        <v>874</v>
      </c>
      <c r="E1870" s="3205">
        <v>152006</v>
      </c>
      <c r="F1870" s="3205">
        <v>239695</v>
      </c>
      <c r="G1870" s="3167">
        <v>54673</v>
      </c>
      <c r="H1870" s="3113">
        <v>54208.639999999999</v>
      </c>
      <c r="I1870" s="1769">
        <f t="shared" si="405"/>
        <v>0.9915065937482852</v>
      </c>
    </row>
    <row r="1871" spans="1:9" ht="51" hidden="1">
      <c r="A1871" s="1614"/>
      <c r="B1871" s="1779"/>
      <c r="C1871" s="1690" t="s">
        <v>875</v>
      </c>
      <c r="D1871" s="3206" t="s">
        <v>800</v>
      </c>
      <c r="E1871" s="1661">
        <v>2754</v>
      </c>
      <c r="F1871" s="1661"/>
      <c r="G1871" s="3167"/>
      <c r="H1871" s="3113"/>
      <c r="I1871" s="1769" t="e">
        <f t="shared" si="405"/>
        <v>#DIV/0!</v>
      </c>
    </row>
    <row r="1872" spans="1:9" ht="26.25" thickBot="1">
      <c r="A1872" s="1614"/>
      <c r="B1872" s="1779"/>
      <c r="C1872" s="3131" t="s">
        <v>636</v>
      </c>
      <c r="D1872" s="3132" t="s">
        <v>967</v>
      </c>
      <c r="E1872" s="3112">
        <v>60052</v>
      </c>
      <c r="F1872" s="3112">
        <v>0</v>
      </c>
      <c r="G1872" s="3167">
        <v>6167</v>
      </c>
      <c r="H1872" s="3113">
        <v>6165.13</v>
      </c>
      <c r="I1872" s="1769">
        <f t="shared" si="405"/>
        <v>0.99969677314739747</v>
      </c>
    </row>
    <row r="1873" spans="1:9" ht="13.5" hidden="1" thickBot="1">
      <c r="A1873" s="1614"/>
      <c r="B1873" s="1779"/>
      <c r="C1873" s="3131"/>
      <c r="D1873" s="3132"/>
      <c r="E1873" s="3207"/>
      <c r="F1873" s="3112"/>
      <c r="G1873" s="3208"/>
      <c r="H1873" s="3113"/>
      <c r="I1873" s="3209"/>
    </row>
    <row r="1874" spans="1:9" ht="27" hidden="1" customHeight="1">
      <c r="A1874" s="1614"/>
      <c r="B1874" s="1779"/>
      <c r="C1874" s="4738" t="s">
        <v>801</v>
      </c>
      <c r="D1874" s="4739"/>
      <c r="E1874" s="1661">
        <f>SUM(E1875:E1878)</f>
        <v>871044</v>
      </c>
      <c r="F1874" s="1661">
        <f>SUM(F1875:F1878)</f>
        <v>0</v>
      </c>
      <c r="G1874" s="2770">
        <f>SUM(G1875:G1878)</f>
        <v>0</v>
      </c>
      <c r="H1874" s="1663">
        <f>SUM(H1875:H1878)</f>
        <v>0</v>
      </c>
      <c r="I1874" s="1769" t="e">
        <f t="shared" si="405"/>
        <v>#DIV/0!</v>
      </c>
    </row>
    <row r="1875" spans="1:9" ht="54" hidden="1" customHeight="1">
      <c r="A1875" s="1614"/>
      <c r="B1875" s="1779"/>
      <c r="C1875" s="3210" t="s">
        <v>870</v>
      </c>
      <c r="D1875" s="3211" t="s">
        <v>877</v>
      </c>
      <c r="E1875" s="3212">
        <v>283516</v>
      </c>
      <c r="F1875" s="3212">
        <v>0</v>
      </c>
      <c r="G1875" s="3213">
        <v>0</v>
      </c>
      <c r="H1875" s="3113">
        <v>0</v>
      </c>
      <c r="I1875" s="1769" t="e">
        <f t="shared" si="405"/>
        <v>#DIV/0!</v>
      </c>
    </row>
    <row r="1876" spans="1:9" ht="54" hidden="1" customHeight="1" thickBot="1">
      <c r="A1876" s="1644"/>
      <c r="B1876" s="1791"/>
      <c r="C1876" s="3214" t="s">
        <v>872</v>
      </c>
      <c r="D1876" s="3215" t="s">
        <v>877</v>
      </c>
      <c r="E1876" s="3216">
        <v>283516</v>
      </c>
      <c r="F1876" s="3216">
        <v>0</v>
      </c>
      <c r="G1876" s="3217">
        <v>0</v>
      </c>
      <c r="H1876" s="1747">
        <v>0</v>
      </c>
      <c r="I1876" s="1651" t="e">
        <f t="shared" si="405"/>
        <v>#DIV/0!</v>
      </c>
    </row>
    <row r="1877" spans="1:9" ht="65.25" hidden="1" customHeight="1">
      <c r="A1877" s="3188"/>
      <c r="B1877" s="3189"/>
      <c r="C1877" s="3218" t="s">
        <v>894</v>
      </c>
      <c r="D1877" s="3219" t="s">
        <v>874</v>
      </c>
      <c r="E1877" s="3192">
        <v>152006</v>
      </c>
      <c r="F1877" s="3192">
        <v>0</v>
      </c>
      <c r="G1877" s="3220">
        <v>0</v>
      </c>
      <c r="H1877" s="3221">
        <v>0</v>
      </c>
      <c r="I1877" s="3174" t="e">
        <f t="shared" si="405"/>
        <v>#DIV/0!</v>
      </c>
    </row>
    <row r="1878" spans="1:9" ht="66.75" hidden="1" customHeight="1" thickBot="1">
      <c r="A1878" s="1644"/>
      <c r="B1878" s="1791"/>
      <c r="C1878" s="3222" t="s">
        <v>873</v>
      </c>
      <c r="D1878" s="3223" t="s">
        <v>874</v>
      </c>
      <c r="E1878" s="3216">
        <v>152006</v>
      </c>
      <c r="F1878" s="3216">
        <v>0</v>
      </c>
      <c r="G1878" s="3217">
        <v>0</v>
      </c>
      <c r="H1878" s="1747">
        <v>0</v>
      </c>
      <c r="I1878" s="1651" t="e">
        <f t="shared" si="405"/>
        <v>#DIV/0!</v>
      </c>
    </row>
    <row r="1879" spans="1:9" ht="17.100000000000001" customHeight="1" thickBot="1">
      <c r="A1879" s="3099" t="s">
        <v>157</v>
      </c>
      <c r="B1879" s="3100"/>
      <c r="C1879" s="3224"/>
      <c r="D1879" s="3225" t="s">
        <v>1135</v>
      </c>
      <c r="E1879" s="3226">
        <f>E1880+E1891+E1985</f>
        <v>50236358</v>
      </c>
      <c r="F1879" s="3103">
        <f t="shared" ref="F1879:H1879" si="409">F1880+F1891+F1985</f>
        <v>40011906</v>
      </c>
      <c r="G1879" s="3104">
        <f>G1880+G1891+G1985</f>
        <v>39530083</v>
      </c>
      <c r="H1879" s="3105">
        <f t="shared" si="409"/>
        <v>37088697.539999999</v>
      </c>
      <c r="I1879" s="3227">
        <f t="shared" si="405"/>
        <v>0.93823980941299823</v>
      </c>
    </row>
    <row r="1880" spans="1:9" ht="17.100000000000001" customHeight="1" thickBot="1">
      <c r="A1880" s="1614"/>
      <c r="B1880" s="3010" t="s">
        <v>1136</v>
      </c>
      <c r="C1880" s="3228"/>
      <c r="D1880" s="3229" t="s">
        <v>679</v>
      </c>
      <c r="E1880" s="3230">
        <f>E1881+E1888</f>
        <v>2538407</v>
      </c>
      <c r="F1880" s="3230">
        <f t="shared" ref="F1880:H1880" si="410">F1881+F1888</f>
        <v>3505562</v>
      </c>
      <c r="G1880" s="3231">
        <f t="shared" si="410"/>
        <v>2655562</v>
      </c>
      <c r="H1880" s="3015">
        <f t="shared" si="410"/>
        <v>2650527.86</v>
      </c>
      <c r="I1880" s="3016">
        <f t="shared" si="405"/>
        <v>0.99810430334520517</v>
      </c>
    </row>
    <row r="1881" spans="1:9" ht="17.100000000000001" customHeight="1">
      <c r="A1881" s="1614"/>
      <c r="B1881" s="4687"/>
      <c r="C1881" s="4740" t="s">
        <v>760</v>
      </c>
      <c r="D1881" s="4741"/>
      <c r="E1881" s="3232">
        <f t="shared" ref="E1881:H1881" si="411">E1882</f>
        <v>2538407</v>
      </c>
      <c r="F1881" s="2627">
        <f t="shared" si="411"/>
        <v>3505562</v>
      </c>
      <c r="G1881" s="2628">
        <f>G1882</f>
        <v>2355562</v>
      </c>
      <c r="H1881" s="1617">
        <f t="shared" si="411"/>
        <v>2350527.86</v>
      </c>
      <c r="I1881" s="1672">
        <f t="shared" si="405"/>
        <v>0.99786287094120207</v>
      </c>
    </row>
    <row r="1882" spans="1:9" ht="17.100000000000001" customHeight="1">
      <c r="A1882" s="1614"/>
      <c r="B1882" s="4687"/>
      <c r="C1882" s="4742" t="s">
        <v>838</v>
      </c>
      <c r="D1882" s="4743"/>
      <c r="E1882" s="3207">
        <f>SUM(E1883:E1886)</f>
        <v>2538407</v>
      </c>
      <c r="F1882" s="3207">
        <f>SUM(F1883:F1886)</f>
        <v>3505562</v>
      </c>
      <c r="G1882" s="3208">
        <f t="shared" ref="G1882:H1882" si="412">SUM(G1883:G1886)</f>
        <v>2355562</v>
      </c>
      <c r="H1882" s="3113">
        <f t="shared" si="412"/>
        <v>2350527.86</v>
      </c>
      <c r="I1882" s="1769">
        <f t="shared" si="405"/>
        <v>0.99786287094120207</v>
      </c>
    </row>
    <row r="1883" spans="1:9" ht="51">
      <c r="A1883" s="1614"/>
      <c r="B1883" s="4687"/>
      <c r="C1883" s="3233" t="s">
        <v>44</v>
      </c>
      <c r="D1883" s="3234" t="s">
        <v>850</v>
      </c>
      <c r="E1883" s="3207">
        <v>1128063</v>
      </c>
      <c r="F1883" s="3235">
        <v>1500000</v>
      </c>
      <c r="G1883" s="3167">
        <v>350000</v>
      </c>
      <c r="H1883" s="3113">
        <v>344965.86</v>
      </c>
      <c r="I1883" s="1769">
        <f t="shared" si="405"/>
        <v>0.98561674285714285</v>
      </c>
    </row>
    <row r="1884" spans="1:9" ht="30" customHeight="1">
      <c r="A1884" s="1614"/>
      <c r="B1884" s="1627"/>
      <c r="C1884" s="3233" t="s">
        <v>1137</v>
      </c>
      <c r="D1884" s="3234" t="s">
        <v>1138</v>
      </c>
      <c r="E1884" s="3207">
        <v>97778</v>
      </c>
      <c r="F1884" s="3235">
        <v>111112</v>
      </c>
      <c r="G1884" s="3167">
        <v>111112</v>
      </c>
      <c r="H1884" s="3113">
        <v>111112</v>
      </c>
      <c r="I1884" s="1769">
        <f t="shared" si="405"/>
        <v>1</v>
      </c>
    </row>
    <row r="1885" spans="1:9" ht="32.25" customHeight="1">
      <c r="A1885" s="1614"/>
      <c r="B1885" s="1627"/>
      <c r="C1885" s="3236" t="s">
        <v>1139</v>
      </c>
      <c r="D1885" s="3237" t="s">
        <v>1140</v>
      </c>
      <c r="E1885" s="3238">
        <v>1302078</v>
      </c>
      <c r="F1885" s="3239">
        <v>1894450</v>
      </c>
      <c r="G1885" s="3019">
        <v>1894450</v>
      </c>
      <c r="H1885" s="3113">
        <v>1894450</v>
      </c>
      <c r="I1885" s="1769">
        <f t="shared" si="405"/>
        <v>1</v>
      </c>
    </row>
    <row r="1886" spans="1:9" ht="38.25" hidden="1" customHeight="1" thickBot="1">
      <c r="A1886" s="1614"/>
      <c r="B1886" s="1627"/>
      <c r="C1886" s="3150" t="s">
        <v>201</v>
      </c>
      <c r="D1886" s="3240" t="s">
        <v>857</v>
      </c>
      <c r="E1886" s="3241">
        <v>10488</v>
      </c>
      <c r="F1886" s="3241">
        <v>0</v>
      </c>
      <c r="G1886" s="3133"/>
      <c r="H1886" s="3113"/>
      <c r="I1886" s="1769" t="e">
        <f t="shared" ref="I1886:I1955" si="413">H1886/G1886</f>
        <v>#DIV/0!</v>
      </c>
    </row>
    <row r="1887" spans="1:9">
      <c r="A1887" s="1614"/>
      <c r="B1887" s="1627"/>
      <c r="C1887" s="3242"/>
      <c r="D1887" s="3243"/>
      <c r="E1887" s="3244"/>
      <c r="F1887" s="3244"/>
      <c r="G1887" s="3133"/>
      <c r="H1887" s="3113"/>
      <c r="I1887" s="1769"/>
    </row>
    <row r="1888" spans="1:9" ht="15.75" customHeight="1">
      <c r="A1888" s="1614"/>
      <c r="B1888" s="1627"/>
      <c r="C1888" s="4744" t="s">
        <v>793</v>
      </c>
      <c r="D1888" s="4745"/>
      <c r="E1888" s="3232">
        <f>E1889</f>
        <v>0</v>
      </c>
      <c r="F1888" s="1615">
        <f t="shared" ref="F1888:H1889" si="414">F1889</f>
        <v>0</v>
      </c>
      <c r="G1888" s="1615">
        <f t="shared" si="414"/>
        <v>300000</v>
      </c>
      <c r="H1888" s="1617">
        <f t="shared" si="414"/>
        <v>300000</v>
      </c>
      <c r="I1888" s="1672">
        <f t="shared" si="413"/>
        <v>1</v>
      </c>
    </row>
    <row r="1889" spans="1:9" ht="15.75" customHeight="1">
      <c r="A1889" s="1614"/>
      <c r="B1889" s="1627"/>
      <c r="C1889" s="4746" t="s">
        <v>903</v>
      </c>
      <c r="D1889" s="4747"/>
      <c r="E1889" s="3241">
        <f>E1890</f>
        <v>0</v>
      </c>
      <c r="F1889" s="3241">
        <f t="shared" si="414"/>
        <v>0</v>
      </c>
      <c r="G1889" s="3241">
        <f t="shared" si="414"/>
        <v>300000</v>
      </c>
      <c r="H1889" s="3245">
        <f t="shared" si="414"/>
        <v>300000</v>
      </c>
      <c r="I1889" s="1769">
        <f t="shared" si="413"/>
        <v>1</v>
      </c>
    </row>
    <row r="1890" spans="1:9" ht="54" customHeight="1" thickBot="1">
      <c r="A1890" s="2271"/>
      <c r="B1890" s="1645"/>
      <c r="C1890" s="3246" t="s">
        <v>1026</v>
      </c>
      <c r="D1890" s="3247" t="s">
        <v>1141</v>
      </c>
      <c r="E1890" s="3248">
        <v>0</v>
      </c>
      <c r="F1890" s="3249">
        <v>0</v>
      </c>
      <c r="G1890" s="3217">
        <v>300000</v>
      </c>
      <c r="H1890" s="1747">
        <v>300000</v>
      </c>
      <c r="I1890" s="1651">
        <f t="shared" si="413"/>
        <v>1</v>
      </c>
    </row>
    <row r="1891" spans="1:9" ht="17.100000000000001" customHeight="1" thickBot="1">
      <c r="A1891" s="3250"/>
      <c r="B1891" s="3010" t="s">
        <v>286</v>
      </c>
      <c r="C1891" s="3011"/>
      <c r="D1891" s="3012" t="s">
        <v>287</v>
      </c>
      <c r="E1891" s="3013">
        <f>E1892+E1975</f>
        <v>31277274</v>
      </c>
      <c r="F1891" s="3013">
        <f>F1892+F1975</f>
        <v>31376239</v>
      </c>
      <c r="G1891" s="3014">
        <f>G1892+G1975</f>
        <v>29478537</v>
      </c>
      <c r="H1891" s="3015">
        <f>H1892+H1975</f>
        <v>27603936.300000001</v>
      </c>
      <c r="I1891" s="3016">
        <f t="shared" si="413"/>
        <v>0.93640794656804038</v>
      </c>
    </row>
    <row r="1892" spans="1:9" ht="17.100000000000001" customHeight="1">
      <c r="A1892" s="1638"/>
      <c r="B1892" s="1627"/>
      <c r="C1892" s="4633" t="s">
        <v>760</v>
      </c>
      <c r="D1892" s="4633"/>
      <c r="E1892" s="2436">
        <f>E1893+E1928+E1932</f>
        <v>30794274</v>
      </c>
      <c r="F1892" s="2436">
        <f>F1893+F1928+F1932+F1924</f>
        <v>31196239</v>
      </c>
      <c r="G1892" s="1616">
        <f>G1893+G1928+G1932+G1924</f>
        <v>29298537</v>
      </c>
      <c r="H1892" s="1617">
        <f>H1893+H1928+H1932+H1924</f>
        <v>27458078.09</v>
      </c>
      <c r="I1892" s="1780">
        <f t="shared" si="413"/>
        <v>0.93718256614656215</v>
      </c>
    </row>
    <row r="1893" spans="1:9" ht="17.100000000000001" customHeight="1">
      <c r="A1893" s="1614"/>
      <c r="B1893" s="1627"/>
      <c r="C1893" s="4732" t="s">
        <v>761</v>
      </c>
      <c r="D1893" s="4732"/>
      <c r="E1893" s="3251">
        <f t="shared" ref="E1893:H1893" si="415">E1894+E1902</f>
        <v>10109469</v>
      </c>
      <c r="F1893" s="3251">
        <f>F1894+F1902</f>
        <v>10152613</v>
      </c>
      <c r="G1893" s="3140">
        <f t="shared" si="415"/>
        <v>11526436</v>
      </c>
      <c r="H1893" s="3141">
        <f t="shared" si="415"/>
        <v>11162312.040000003</v>
      </c>
      <c r="I1893" s="1769">
        <f t="shared" si="413"/>
        <v>0.96840966626631186</v>
      </c>
    </row>
    <row r="1894" spans="1:9" ht="17.100000000000001" customHeight="1">
      <c r="A1894" s="1614"/>
      <c r="B1894" s="1627"/>
      <c r="C1894" s="4733" t="s">
        <v>762</v>
      </c>
      <c r="D1894" s="4733"/>
      <c r="E1894" s="3252">
        <f t="shared" ref="E1894" si="416">SUM(E1895:E1900)</f>
        <v>8018652</v>
      </c>
      <c r="F1894" s="3252">
        <f>SUM(F1895:F1900)</f>
        <v>8046097</v>
      </c>
      <c r="G1894" s="3253">
        <f>SUM(G1895:G1900)</f>
        <v>9319897</v>
      </c>
      <c r="H1894" s="3254">
        <f>SUM(H1895:H1900)</f>
        <v>9083838.5100000016</v>
      </c>
      <c r="I1894" s="1783">
        <f t="shared" si="413"/>
        <v>0.9746715559195559</v>
      </c>
    </row>
    <row r="1895" spans="1:9" ht="17.100000000000001" customHeight="1">
      <c r="A1895" s="1614"/>
      <c r="B1895" s="1627"/>
      <c r="C1895" s="1659" t="s">
        <v>61</v>
      </c>
      <c r="D1895" s="1660" t="s">
        <v>763</v>
      </c>
      <c r="E1895" s="2254">
        <v>6297980</v>
      </c>
      <c r="F1895" s="2254">
        <v>6282751</v>
      </c>
      <c r="G1895" s="3133">
        <v>7339751</v>
      </c>
      <c r="H1895" s="3113">
        <v>7188226.4000000004</v>
      </c>
      <c r="I1895" s="1664">
        <f t="shared" si="413"/>
        <v>0.9793556211920541</v>
      </c>
    </row>
    <row r="1896" spans="1:9" ht="17.100000000000001" customHeight="1">
      <c r="A1896" s="1614"/>
      <c r="B1896" s="1627"/>
      <c r="C1896" s="3117" t="s">
        <v>315</v>
      </c>
      <c r="D1896" s="3118" t="s">
        <v>764</v>
      </c>
      <c r="E1896" s="2254">
        <v>428637</v>
      </c>
      <c r="F1896" s="2254">
        <v>477506</v>
      </c>
      <c r="G1896" s="3213">
        <v>477506</v>
      </c>
      <c r="H1896" s="3113">
        <v>477227.58</v>
      </c>
      <c r="I1896" s="1664">
        <f t="shared" si="413"/>
        <v>0.99941692879251787</v>
      </c>
    </row>
    <row r="1897" spans="1:9" ht="17.100000000000001" customHeight="1">
      <c r="A1897" s="1614"/>
      <c r="B1897" s="1627"/>
      <c r="C1897" s="3117" t="s">
        <v>62</v>
      </c>
      <c r="D1897" s="3118" t="s">
        <v>765</v>
      </c>
      <c r="E1897" s="2254">
        <v>1117523</v>
      </c>
      <c r="F1897" s="2254">
        <v>1117161</v>
      </c>
      <c r="G1897" s="3213">
        <v>1285101</v>
      </c>
      <c r="H1897" s="3113">
        <v>1233111.97</v>
      </c>
      <c r="I1897" s="1664">
        <f t="shared" si="413"/>
        <v>0.95954479064291442</v>
      </c>
    </row>
    <row r="1898" spans="1:9" ht="27.75" customHeight="1">
      <c r="A1898" s="1614"/>
      <c r="B1898" s="1627"/>
      <c r="C1898" s="3117" t="s">
        <v>63</v>
      </c>
      <c r="D1898" s="3118" t="s">
        <v>766</v>
      </c>
      <c r="E1898" s="2254">
        <v>159272</v>
      </c>
      <c r="F1898" s="2254">
        <v>149015</v>
      </c>
      <c r="G1898" s="3213">
        <v>162225</v>
      </c>
      <c r="H1898" s="3113">
        <v>144987.06</v>
      </c>
      <c r="I1898" s="1664">
        <f t="shared" si="413"/>
        <v>0.89374054553860383</v>
      </c>
    </row>
    <row r="1899" spans="1:9" ht="27.75" customHeight="1">
      <c r="A1899" s="1614"/>
      <c r="B1899" s="1627"/>
      <c r="C1899" s="3117" t="s">
        <v>324</v>
      </c>
      <c r="D1899" s="3118" t="s">
        <v>767</v>
      </c>
      <c r="E1899" s="2254">
        <v>15240</v>
      </c>
      <c r="F1899" s="2254">
        <v>8320</v>
      </c>
      <c r="G1899" s="3213">
        <v>18320</v>
      </c>
      <c r="H1899" s="3255">
        <v>16380</v>
      </c>
      <c r="I1899" s="1664">
        <f t="shared" si="413"/>
        <v>0.89410480349344978</v>
      </c>
    </row>
    <row r="1900" spans="1:9" ht="17.100000000000001" customHeight="1">
      <c r="A1900" s="1614"/>
      <c r="B1900" s="1627"/>
      <c r="C1900" s="3117" t="s">
        <v>335</v>
      </c>
      <c r="D1900" s="3118" t="s">
        <v>768</v>
      </c>
      <c r="E1900" s="2254"/>
      <c r="F1900" s="2254">
        <v>11344</v>
      </c>
      <c r="G1900" s="3213">
        <v>36994</v>
      </c>
      <c r="H1900" s="3113">
        <v>23905.5</v>
      </c>
      <c r="I1900" s="1664">
        <f t="shared" si="413"/>
        <v>0.64619938368384067</v>
      </c>
    </row>
    <row r="1901" spans="1:9" ht="17.100000000000001" customHeight="1">
      <c r="A1901" s="1614"/>
      <c r="B1901" s="1627"/>
      <c r="C1901" s="1688"/>
      <c r="D1901" s="1688"/>
      <c r="E1901" s="1638"/>
      <c r="F1901" s="1638"/>
      <c r="G1901" s="3213"/>
      <c r="H1901" s="3113"/>
      <c r="I1901" s="1664"/>
    </row>
    <row r="1902" spans="1:9" ht="17.100000000000001" customHeight="1">
      <c r="A1902" s="1614"/>
      <c r="B1902" s="1627"/>
      <c r="C1902" s="4734" t="s">
        <v>769</v>
      </c>
      <c r="D1902" s="4734"/>
      <c r="E1902" s="3256">
        <f t="shared" ref="E1902:F1902" si="417">SUM(E1903:E1922)</f>
        <v>2090817</v>
      </c>
      <c r="F1902" s="3256">
        <f t="shared" si="417"/>
        <v>2106516</v>
      </c>
      <c r="G1902" s="3257">
        <f>SUM(G1903:G1922)</f>
        <v>2206539</v>
      </c>
      <c r="H1902" s="3258">
        <f>SUM(H1903:H1922)</f>
        <v>2078473.5300000003</v>
      </c>
      <c r="I1902" s="2047">
        <f t="shared" si="413"/>
        <v>0.94196093067015818</v>
      </c>
    </row>
    <row r="1903" spans="1:9" ht="26.25" customHeight="1">
      <c r="A1903" s="1614"/>
      <c r="B1903" s="1627"/>
      <c r="C1903" s="3117" t="s">
        <v>332</v>
      </c>
      <c r="D1903" s="3118" t="s">
        <v>770</v>
      </c>
      <c r="E1903" s="3259">
        <v>6000</v>
      </c>
      <c r="F1903" s="3259">
        <v>6000</v>
      </c>
      <c r="G1903" s="3213">
        <v>1000</v>
      </c>
      <c r="H1903" s="3113">
        <v>0</v>
      </c>
      <c r="I1903" s="1664">
        <f t="shared" si="413"/>
        <v>0</v>
      </c>
    </row>
    <row r="1904" spans="1:9" ht="17.100000000000001" customHeight="1">
      <c r="A1904" s="1614"/>
      <c r="B1904" s="1627"/>
      <c r="C1904" s="3117" t="s">
        <v>22</v>
      </c>
      <c r="D1904" s="3118" t="s">
        <v>771</v>
      </c>
      <c r="E1904" s="3259">
        <v>339800</v>
      </c>
      <c r="F1904" s="3259">
        <v>281950</v>
      </c>
      <c r="G1904" s="3213">
        <v>374888</v>
      </c>
      <c r="H1904" s="3113">
        <v>364518.44</v>
      </c>
      <c r="I1904" s="1664">
        <f t="shared" si="413"/>
        <v>0.97233957875418797</v>
      </c>
    </row>
    <row r="1905" spans="1:9" ht="17.100000000000001" customHeight="1">
      <c r="A1905" s="1614"/>
      <c r="B1905" s="1627"/>
      <c r="C1905" s="3117" t="s">
        <v>326</v>
      </c>
      <c r="D1905" s="3118" t="s">
        <v>772</v>
      </c>
      <c r="E1905" s="3259">
        <v>6000</v>
      </c>
      <c r="F1905" s="3259">
        <v>6000</v>
      </c>
      <c r="G1905" s="3213">
        <v>6000</v>
      </c>
      <c r="H1905" s="3113">
        <v>4766.54</v>
      </c>
      <c r="I1905" s="1664">
        <f t="shared" si="413"/>
        <v>0.79442333333333337</v>
      </c>
    </row>
    <row r="1906" spans="1:9" ht="17.100000000000001" customHeight="1">
      <c r="A1906" s="1614"/>
      <c r="B1906" s="1627"/>
      <c r="C1906" s="3117" t="s">
        <v>316</v>
      </c>
      <c r="D1906" s="3118" t="s">
        <v>773</v>
      </c>
      <c r="E1906" s="3259">
        <v>138200</v>
      </c>
      <c r="F1906" s="3259">
        <v>100000</v>
      </c>
      <c r="G1906" s="3213">
        <v>137040</v>
      </c>
      <c r="H1906" s="3113">
        <v>127800.04</v>
      </c>
      <c r="I1906" s="1664">
        <f t="shared" si="413"/>
        <v>0.93257472270869812</v>
      </c>
    </row>
    <row r="1907" spans="1:9" ht="17.100000000000001" customHeight="1">
      <c r="A1907" s="1614"/>
      <c r="B1907" s="1627"/>
      <c r="C1907" s="3128" t="s">
        <v>87</v>
      </c>
      <c r="D1907" s="3129" t="s">
        <v>774</v>
      </c>
      <c r="E1907" s="3259">
        <v>70250</v>
      </c>
      <c r="F1907" s="3259">
        <v>55000</v>
      </c>
      <c r="G1907" s="3213">
        <v>63000</v>
      </c>
      <c r="H1907" s="3113">
        <v>55800.05</v>
      </c>
      <c r="I1907" s="1664">
        <f t="shared" si="413"/>
        <v>0.88571507936507943</v>
      </c>
    </row>
    <row r="1908" spans="1:9" ht="17.100000000000001" customHeight="1">
      <c r="A1908" s="1614"/>
      <c r="B1908" s="1627"/>
      <c r="C1908" s="1659" t="s">
        <v>317</v>
      </c>
      <c r="D1908" s="1660" t="s">
        <v>775</v>
      </c>
      <c r="E1908" s="2254">
        <v>4631</v>
      </c>
      <c r="F1908" s="2254">
        <v>10230</v>
      </c>
      <c r="G1908" s="1662">
        <v>10230</v>
      </c>
      <c r="H1908" s="1663">
        <v>6907.3</v>
      </c>
      <c r="I1908" s="1664">
        <f t="shared" si="413"/>
        <v>0.67520039100684259</v>
      </c>
    </row>
    <row r="1909" spans="1:9" ht="17.100000000000001" customHeight="1">
      <c r="A1909" s="1614"/>
      <c r="B1909" s="1627"/>
      <c r="C1909" s="3117" t="s">
        <v>23</v>
      </c>
      <c r="D1909" s="3118" t="s">
        <v>776</v>
      </c>
      <c r="E1909" s="3259">
        <v>682653</v>
      </c>
      <c r="F1909" s="3259">
        <v>708676</v>
      </c>
      <c r="G1909" s="3213">
        <v>644938</v>
      </c>
      <c r="H1909" s="3113">
        <v>611043.13</v>
      </c>
      <c r="I1909" s="1664">
        <f t="shared" si="413"/>
        <v>0.94744476213217399</v>
      </c>
    </row>
    <row r="1910" spans="1:9" ht="16.5" customHeight="1">
      <c r="A1910" s="1614"/>
      <c r="B1910" s="1627"/>
      <c r="C1910" s="3117" t="s">
        <v>318</v>
      </c>
      <c r="D1910" s="3118" t="s">
        <v>777</v>
      </c>
      <c r="E1910" s="3259">
        <v>20680</v>
      </c>
      <c r="F1910" s="3259">
        <v>33800</v>
      </c>
      <c r="G1910" s="3213">
        <v>33800</v>
      </c>
      <c r="H1910" s="3113">
        <v>25257.73</v>
      </c>
      <c r="I1910" s="1664">
        <f t="shared" si="413"/>
        <v>0.74727011834319523</v>
      </c>
    </row>
    <row r="1911" spans="1:9" ht="16.5" customHeight="1">
      <c r="A1911" s="1614"/>
      <c r="B1911" s="1627"/>
      <c r="C1911" s="3117" t="s">
        <v>916</v>
      </c>
      <c r="D1911" s="3118" t="s">
        <v>917</v>
      </c>
      <c r="E1911" s="3259">
        <v>1200</v>
      </c>
      <c r="F1911" s="3259">
        <v>1000</v>
      </c>
      <c r="G1911" s="3213">
        <v>1000</v>
      </c>
      <c r="H1911" s="3113">
        <v>0</v>
      </c>
      <c r="I1911" s="1664">
        <f t="shared" si="413"/>
        <v>0</v>
      </c>
    </row>
    <row r="1912" spans="1:9" ht="16.5" customHeight="1">
      <c r="A1912" s="1614"/>
      <c r="B1912" s="1627"/>
      <c r="C1912" s="3117" t="s">
        <v>327</v>
      </c>
      <c r="D1912" s="3118" t="s">
        <v>778</v>
      </c>
      <c r="E1912" s="3259">
        <v>5000</v>
      </c>
      <c r="F1912" s="3259">
        <v>5500</v>
      </c>
      <c r="G1912" s="3213">
        <v>5500</v>
      </c>
      <c r="H1912" s="3113">
        <v>5262.6</v>
      </c>
      <c r="I1912" s="1664">
        <f t="shared" si="413"/>
        <v>0.95683636363636371</v>
      </c>
    </row>
    <row r="1913" spans="1:9" ht="26.25" customHeight="1">
      <c r="A1913" s="1614"/>
      <c r="B1913" s="1627"/>
      <c r="C1913" s="3260" t="s">
        <v>779</v>
      </c>
      <c r="D1913" s="3261" t="s">
        <v>780</v>
      </c>
      <c r="E1913" s="3259">
        <v>162000</v>
      </c>
      <c r="F1913" s="3259">
        <v>161800</v>
      </c>
      <c r="G1913" s="3213">
        <v>89605</v>
      </c>
      <c r="H1913" s="3113">
        <v>72604.06</v>
      </c>
      <c r="I1913" s="1664">
        <f t="shared" si="413"/>
        <v>0.81026795379722116</v>
      </c>
    </row>
    <row r="1914" spans="1:9" ht="17.100000000000001" customHeight="1">
      <c r="A1914" s="1614"/>
      <c r="B1914" s="1627"/>
      <c r="C1914" s="3131" t="s">
        <v>328</v>
      </c>
      <c r="D1914" s="3132" t="s">
        <v>781</v>
      </c>
      <c r="E1914" s="3259">
        <v>42000</v>
      </c>
      <c r="F1914" s="3259">
        <v>39200</v>
      </c>
      <c r="G1914" s="3213">
        <v>35000</v>
      </c>
      <c r="H1914" s="3113">
        <v>29172.57</v>
      </c>
      <c r="I1914" s="1664">
        <f t="shared" si="413"/>
        <v>0.83350199999999997</v>
      </c>
    </row>
    <row r="1915" spans="1:9" ht="17.100000000000001" customHeight="1">
      <c r="A1915" s="1614"/>
      <c r="B1915" s="1627"/>
      <c r="C1915" s="1659" t="s">
        <v>899</v>
      </c>
      <c r="D1915" s="1660" t="s">
        <v>900</v>
      </c>
      <c r="E1915" s="3259">
        <v>2000</v>
      </c>
      <c r="F1915" s="3259">
        <v>1000</v>
      </c>
      <c r="G1915" s="3213">
        <v>1000</v>
      </c>
      <c r="H1915" s="3113">
        <v>0</v>
      </c>
      <c r="I1915" s="1769">
        <f t="shared" si="413"/>
        <v>0</v>
      </c>
    </row>
    <row r="1916" spans="1:9" ht="17.100000000000001" customHeight="1">
      <c r="A1916" s="1614"/>
      <c r="B1916" s="1627"/>
      <c r="C1916" s="3117" t="s">
        <v>333</v>
      </c>
      <c r="D1916" s="3118" t="s">
        <v>782</v>
      </c>
      <c r="E1916" s="3259">
        <v>18100</v>
      </c>
      <c r="F1916" s="3259">
        <v>25300</v>
      </c>
      <c r="G1916" s="3213">
        <v>25300</v>
      </c>
      <c r="H1916" s="3113">
        <v>22785.65</v>
      </c>
      <c r="I1916" s="1769">
        <f t="shared" si="413"/>
        <v>0.90061857707509885</v>
      </c>
    </row>
    <row r="1917" spans="1:9" ht="17.100000000000001" customHeight="1" thickBot="1">
      <c r="A1917" s="2271"/>
      <c r="B1917" s="2271"/>
      <c r="C1917" s="3262" t="s">
        <v>319</v>
      </c>
      <c r="D1917" s="3120" t="s">
        <v>783</v>
      </c>
      <c r="E1917" s="2017">
        <v>404233</v>
      </c>
      <c r="F1917" s="2017">
        <v>495600</v>
      </c>
      <c r="G1917" s="3217">
        <v>486600</v>
      </c>
      <c r="H1917" s="1747">
        <v>480490.53</v>
      </c>
      <c r="I1917" s="1651">
        <f t="shared" si="413"/>
        <v>0.98744457459926027</v>
      </c>
    </row>
    <row r="1918" spans="1:9" ht="17.100000000000001" customHeight="1">
      <c r="A1918" s="1638"/>
      <c r="B1918" s="1638"/>
      <c r="C1918" s="3263" t="s">
        <v>320</v>
      </c>
      <c r="D1918" s="3264" t="s">
        <v>784</v>
      </c>
      <c r="E1918" s="3265">
        <v>25000</v>
      </c>
      <c r="F1918" s="3265">
        <v>28000</v>
      </c>
      <c r="G1918" s="3266">
        <v>26155</v>
      </c>
      <c r="H1918" s="3267">
        <v>26125</v>
      </c>
      <c r="I1918" s="3268">
        <f t="shared" si="413"/>
        <v>0.99885299177977438</v>
      </c>
    </row>
    <row r="1919" spans="1:9" ht="17.100000000000001" customHeight="1">
      <c r="A1919" s="1638"/>
      <c r="B1919" s="1638"/>
      <c r="C1919" s="1659" t="s">
        <v>334</v>
      </c>
      <c r="D1919" s="1660" t="s">
        <v>787</v>
      </c>
      <c r="E1919" s="2254">
        <v>88840</v>
      </c>
      <c r="F1919" s="2254">
        <v>87960</v>
      </c>
      <c r="G1919" s="1881">
        <v>85960</v>
      </c>
      <c r="H1919" s="1663">
        <v>84898.85</v>
      </c>
      <c r="I1919" s="1769">
        <f t="shared" si="413"/>
        <v>0.98765530479292696</v>
      </c>
    </row>
    <row r="1920" spans="1:9" ht="51" customHeight="1">
      <c r="A1920" s="1614"/>
      <c r="B1920" s="1627"/>
      <c r="C1920" s="1659" t="s">
        <v>846</v>
      </c>
      <c r="D1920" s="1660" t="s">
        <v>833</v>
      </c>
      <c r="E1920" s="2254"/>
      <c r="F1920" s="2254">
        <v>0</v>
      </c>
      <c r="G1920" s="1881">
        <v>111023</v>
      </c>
      <c r="H1920" s="1663">
        <v>111023</v>
      </c>
      <c r="I1920" s="1769">
        <f t="shared" si="413"/>
        <v>1</v>
      </c>
    </row>
    <row r="1921" spans="1:9" ht="17.100000000000001" customHeight="1">
      <c r="A1921" s="1614"/>
      <c r="B1921" s="1627"/>
      <c r="C1921" s="3117" t="s">
        <v>848</v>
      </c>
      <c r="D1921" s="3118" t="s">
        <v>849</v>
      </c>
      <c r="E1921" s="3269">
        <v>5500</v>
      </c>
      <c r="F1921" s="3269">
        <v>4500</v>
      </c>
      <c r="G1921" s="3213">
        <v>13500</v>
      </c>
      <c r="H1921" s="3270">
        <v>600.69000000000005</v>
      </c>
      <c r="I1921" s="1769">
        <f t="shared" si="413"/>
        <v>4.4495555555555559E-2</v>
      </c>
    </row>
    <row r="1922" spans="1:9" ht="26.25" customHeight="1">
      <c r="A1922" s="1614"/>
      <c r="B1922" s="1627"/>
      <c r="C1922" s="3117" t="s">
        <v>64</v>
      </c>
      <c r="D1922" s="3118" t="s">
        <v>790</v>
      </c>
      <c r="E1922" s="3269">
        <v>68730</v>
      </c>
      <c r="F1922" s="3269">
        <v>55000</v>
      </c>
      <c r="G1922" s="3213">
        <v>55000</v>
      </c>
      <c r="H1922" s="3270">
        <v>49417.35</v>
      </c>
      <c r="I1922" s="1769">
        <f t="shared" si="413"/>
        <v>0.89849727272727276</v>
      </c>
    </row>
    <row r="1923" spans="1:9" ht="17.100000000000001" customHeight="1">
      <c r="A1923" s="1614"/>
      <c r="B1923" s="1627"/>
      <c r="C1923" s="2773"/>
      <c r="D1923" s="2773"/>
      <c r="E1923" s="2774"/>
      <c r="F1923" s="2774"/>
      <c r="G1923" s="3213"/>
      <c r="H1923" s="3270"/>
      <c r="I1923" s="1769"/>
    </row>
    <row r="1924" spans="1:9" ht="17.100000000000001" customHeight="1">
      <c r="A1924" s="1614"/>
      <c r="B1924" s="1627"/>
      <c r="C1924" s="4735" t="s">
        <v>838</v>
      </c>
      <c r="D1924" s="4736"/>
      <c r="E1924" s="3244">
        <f>SUM(E1925:E1929)</f>
        <v>1264361</v>
      </c>
      <c r="F1924" s="3244">
        <f>SUM(F1925:F1926)</f>
        <v>0</v>
      </c>
      <c r="G1924" s="3244">
        <f>SUM(G1925:G1926)</f>
        <v>171608</v>
      </c>
      <c r="H1924" s="3271">
        <f>SUM(H1925:H1926)</f>
        <v>171607.89</v>
      </c>
      <c r="I1924" s="1769">
        <f t="shared" ref="I1924:I1926" si="418">H1924/G1924</f>
        <v>0.99999935900424231</v>
      </c>
    </row>
    <row r="1925" spans="1:9" ht="52.5" customHeight="1">
      <c r="A1925" s="1614"/>
      <c r="B1925" s="1627"/>
      <c r="C1925" s="3272" t="s">
        <v>687</v>
      </c>
      <c r="D1925" s="3273" t="s">
        <v>898</v>
      </c>
      <c r="E1925" s="3244">
        <v>1128063</v>
      </c>
      <c r="F1925" s="3235">
        <v>0</v>
      </c>
      <c r="G1925" s="3133">
        <v>128706</v>
      </c>
      <c r="H1925" s="3270">
        <v>128705.92</v>
      </c>
      <c r="I1925" s="1769">
        <f t="shared" si="418"/>
        <v>0.99999937842835607</v>
      </c>
    </row>
    <row r="1926" spans="1:9" ht="54.75" customHeight="1">
      <c r="A1926" s="1614"/>
      <c r="B1926" s="1627"/>
      <c r="C1926" s="3272" t="s">
        <v>634</v>
      </c>
      <c r="D1926" s="3273" t="s">
        <v>898</v>
      </c>
      <c r="E1926" s="3244">
        <v>97778</v>
      </c>
      <c r="F1926" s="3235">
        <v>0</v>
      </c>
      <c r="G1926" s="3133">
        <v>42902</v>
      </c>
      <c r="H1926" s="3270">
        <v>42901.97</v>
      </c>
      <c r="I1926" s="1769">
        <f t="shared" si="418"/>
        <v>0.99999930073190069</v>
      </c>
    </row>
    <row r="1927" spans="1:9" ht="20.25" customHeight="1">
      <c r="A1927" s="1614"/>
      <c r="B1927" s="1627"/>
      <c r="C1927" s="2753"/>
      <c r="D1927" s="3274"/>
      <c r="E1927" s="3244"/>
      <c r="F1927" s="3244"/>
      <c r="G1927" s="3275"/>
      <c r="H1927" s="3270"/>
      <c r="I1927" s="1664"/>
    </row>
    <row r="1928" spans="1:9" ht="17.100000000000001" customHeight="1">
      <c r="A1928" s="1614"/>
      <c r="B1928" s="1627"/>
      <c r="C1928" s="4737" t="s">
        <v>791</v>
      </c>
      <c r="D1928" s="4737"/>
      <c r="E1928" s="3269">
        <f t="shared" ref="E1928:F1928" si="419">E1929+E1930</f>
        <v>19390</v>
      </c>
      <c r="F1928" s="3269">
        <f t="shared" si="419"/>
        <v>16530</v>
      </c>
      <c r="G1928" s="3149">
        <f>G1929+G1930</f>
        <v>22530</v>
      </c>
      <c r="H1928" s="3270">
        <f>H1929+H1930</f>
        <v>19202.989999999998</v>
      </c>
      <c r="I1928" s="1769">
        <f t="shared" si="413"/>
        <v>0.85232978251220581</v>
      </c>
    </row>
    <row r="1929" spans="1:9" ht="17.100000000000001" customHeight="1">
      <c r="A1929" s="1614"/>
      <c r="B1929" s="1627"/>
      <c r="C1929" s="3260" t="s">
        <v>314</v>
      </c>
      <c r="D1929" s="3261" t="s">
        <v>792</v>
      </c>
      <c r="E1929" s="3251">
        <v>19130</v>
      </c>
      <c r="F1929" s="3251">
        <v>16200</v>
      </c>
      <c r="G1929" s="3133">
        <v>20200</v>
      </c>
      <c r="H1929" s="3270">
        <v>18415.939999999999</v>
      </c>
      <c r="I1929" s="1769">
        <f t="shared" si="413"/>
        <v>0.91168019801980194</v>
      </c>
    </row>
    <row r="1930" spans="1:9" ht="17.100000000000001" customHeight="1">
      <c r="A1930" s="1614"/>
      <c r="B1930" s="1627"/>
      <c r="C1930" s="3276" t="s">
        <v>325</v>
      </c>
      <c r="D1930" s="3277" t="s">
        <v>977</v>
      </c>
      <c r="E1930" s="3269">
        <v>260</v>
      </c>
      <c r="F1930" s="3269">
        <v>330</v>
      </c>
      <c r="G1930" s="3133">
        <v>2330</v>
      </c>
      <c r="H1930" s="3270">
        <v>787.05</v>
      </c>
      <c r="I1930" s="1769">
        <f t="shared" si="413"/>
        <v>0.33778969957081545</v>
      </c>
    </row>
    <row r="1931" spans="1:9" ht="17.100000000000001" customHeight="1">
      <c r="A1931" s="1614"/>
      <c r="B1931" s="1627"/>
      <c r="C1931" s="2773"/>
      <c r="D1931" s="2773"/>
      <c r="E1931" s="2774"/>
      <c r="F1931" s="2774"/>
      <c r="G1931" s="3133"/>
      <c r="H1931" s="3270"/>
      <c r="I1931" s="1769"/>
    </row>
    <row r="1932" spans="1:9" ht="26.25" customHeight="1">
      <c r="A1932" s="1614"/>
      <c r="B1932" s="1627"/>
      <c r="C1932" s="4727" t="s">
        <v>803</v>
      </c>
      <c r="D1932" s="4727"/>
      <c r="E1932" s="3278">
        <f>SUM(E1933:E1973)</f>
        <v>20665415</v>
      </c>
      <c r="F1932" s="3278">
        <f>SUM(F1933:F1973)</f>
        <v>21027096</v>
      </c>
      <c r="G1932" s="3279">
        <f>SUM(G1933:G1973)</f>
        <v>17577963</v>
      </c>
      <c r="H1932" s="3280">
        <f>SUM(H1933:H1973)</f>
        <v>16104955.169999996</v>
      </c>
      <c r="I1932" s="1769">
        <f t="shared" si="413"/>
        <v>0.91620144893921984</v>
      </c>
    </row>
    <row r="1933" spans="1:9" ht="16.5" customHeight="1">
      <c r="A1933" s="1614"/>
      <c r="B1933" s="1627"/>
      <c r="C1933" s="3281" t="s">
        <v>1003</v>
      </c>
      <c r="D1933" s="3282" t="s">
        <v>858</v>
      </c>
      <c r="E1933" s="3278">
        <f>5057+10200</f>
        <v>15257</v>
      </c>
      <c r="F1933" s="3278">
        <v>0</v>
      </c>
      <c r="G1933" s="3213">
        <f>111+112</f>
        <v>223</v>
      </c>
      <c r="H1933" s="3280">
        <v>221.6</v>
      </c>
      <c r="I1933" s="1769">
        <f t="shared" si="413"/>
        <v>0.99372197309417043</v>
      </c>
    </row>
    <row r="1934" spans="1:9" ht="16.5" customHeight="1">
      <c r="A1934" s="1614"/>
      <c r="B1934" s="1627"/>
      <c r="C1934" s="3281" t="s">
        <v>974</v>
      </c>
      <c r="D1934" s="3261" t="s">
        <v>792</v>
      </c>
      <c r="E1934" s="3278">
        <f>5057+10200</f>
        <v>15257</v>
      </c>
      <c r="F1934" s="3278">
        <v>17800</v>
      </c>
      <c r="G1934" s="3213">
        <f>5900+11900</f>
        <v>17800</v>
      </c>
      <c r="H1934" s="3280">
        <v>14874.71</v>
      </c>
      <c r="I1934" s="1769">
        <f t="shared" si="413"/>
        <v>0.83565786516853924</v>
      </c>
    </row>
    <row r="1935" spans="1:9" ht="16.5" customHeight="1">
      <c r="A1935" s="1614"/>
      <c r="B1935" s="1627"/>
      <c r="C1935" s="3281" t="s">
        <v>975</v>
      </c>
      <c r="D1935" s="3261" t="s">
        <v>792</v>
      </c>
      <c r="E1935" s="3278">
        <f>943+1800</f>
        <v>2743</v>
      </c>
      <c r="F1935" s="3278">
        <v>3200</v>
      </c>
      <c r="G1935" s="3213">
        <f>1100+2100</f>
        <v>3200</v>
      </c>
      <c r="H1935" s="3280">
        <v>2661.25</v>
      </c>
      <c r="I1935" s="1769">
        <f t="shared" si="413"/>
        <v>0.83164062500000002</v>
      </c>
    </row>
    <row r="1936" spans="1:9" ht="17.100000000000001" customHeight="1">
      <c r="A1936" s="1614"/>
      <c r="B1936" s="1627"/>
      <c r="C1936" s="3283" t="s">
        <v>807</v>
      </c>
      <c r="D1936" s="3284" t="s">
        <v>763</v>
      </c>
      <c r="E1936" s="3278">
        <f>2650628+9646925</f>
        <v>12297553</v>
      </c>
      <c r="F1936" s="3278">
        <v>12437638</v>
      </c>
      <c r="G1936" s="3285">
        <f>2198001+8543237</f>
        <v>10741238</v>
      </c>
      <c r="H1936" s="3280">
        <v>9955626.3699999992</v>
      </c>
      <c r="I1936" s="1769">
        <f t="shared" si="413"/>
        <v>0.92686023436032228</v>
      </c>
    </row>
    <row r="1937" spans="1:9" ht="17.100000000000001" customHeight="1">
      <c r="A1937" s="1614"/>
      <c r="B1937" s="1627"/>
      <c r="C1937" s="1659" t="s">
        <v>808</v>
      </c>
      <c r="D1937" s="3118" t="s">
        <v>763</v>
      </c>
      <c r="E1937" s="3278">
        <f>494398+1702399</f>
        <v>2196797</v>
      </c>
      <c r="F1937" s="3278">
        <v>2221204</v>
      </c>
      <c r="G1937" s="3285">
        <f>409974+1507630</f>
        <v>1917604</v>
      </c>
      <c r="H1937" s="3280">
        <v>1777074</v>
      </c>
      <c r="I1937" s="1769">
        <f t="shared" si="413"/>
        <v>0.92671583914092792</v>
      </c>
    </row>
    <row r="1938" spans="1:9" ht="17.100000000000001" customHeight="1" thickBot="1">
      <c r="A1938" s="1644"/>
      <c r="B1938" s="1645"/>
      <c r="C1938" s="3119" t="s">
        <v>809</v>
      </c>
      <c r="D1938" s="3120" t="s">
        <v>764</v>
      </c>
      <c r="E1938" s="2017">
        <f>182301+637690</f>
        <v>819991</v>
      </c>
      <c r="F1938" s="2017">
        <v>797439</v>
      </c>
      <c r="G1938" s="3029">
        <f>156683+614380</f>
        <v>771063</v>
      </c>
      <c r="H1938" s="1747">
        <v>771062.35</v>
      </c>
      <c r="I1938" s="1651">
        <f t="shared" si="413"/>
        <v>0.99999915700792275</v>
      </c>
    </row>
    <row r="1939" spans="1:9" ht="17.100000000000001" customHeight="1">
      <c r="A1939" s="4716"/>
      <c r="B1939" s="1638"/>
      <c r="C1939" s="1690" t="s">
        <v>810</v>
      </c>
      <c r="D1939" s="1691" t="s">
        <v>764</v>
      </c>
      <c r="E1939" s="2254">
        <f>34003+112533</f>
        <v>146536</v>
      </c>
      <c r="F1939" s="2254">
        <v>142350</v>
      </c>
      <c r="G1939" s="2264">
        <f>29225+108420</f>
        <v>137645</v>
      </c>
      <c r="H1939" s="1663">
        <v>137644.57</v>
      </c>
      <c r="I1939" s="1664">
        <f t="shared" si="413"/>
        <v>0.99999687602164999</v>
      </c>
    </row>
    <row r="1940" spans="1:9" ht="17.100000000000001" customHeight="1">
      <c r="A1940" s="4716"/>
      <c r="B1940" s="1638"/>
      <c r="C1940" s="1659" t="s">
        <v>811</v>
      </c>
      <c r="D1940" s="1660" t="s">
        <v>765</v>
      </c>
      <c r="E1940" s="3286">
        <f>486981+1767926</f>
        <v>2254907</v>
      </c>
      <c r="F1940" s="3286">
        <v>2275111</v>
      </c>
      <c r="G1940" s="1881">
        <f>398030+1549665</f>
        <v>1947695</v>
      </c>
      <c r="H1940" s="3138">
        <v>1792785.21</v>
      </c>
      <c r="I1940" s="1769">
        <f t="shared" si="413"/>
        <v>0.92046506768256831</v>
      </c>
    </row>
    <row r="1941" spans="1:9" ht="17.100000000000001" customHeight="1">
      <c r="A1941" s="1614"/>
      <c r="B1941" s="1627"/>
      <c r="C1941" s="3281" t="s">
        <v>812</v>
      </c>
      <c r="D1941" s="3118" t="s">
        <v>765</v>
      </c>
      <c r="E1941" s="3278">
        <f>90832+311986</f>
        <v>402818</v>
      </c>
      <c r="F1941" s="3278">
        <v>406294</v>
      </c>
      <c r="G1941" s="3285">
        <f>74240+273470</f>
        <v>347710</v>
      </c>
      <c r="H1941" s="3280">
        <v>320013.87</v>
      </c>
      <c r="I1941" s="1769">
        <f t="shared" si="413"/>
        <v>0.92034704207529261</v>
      </c>
    </row>
    <row r="1942" spans="1:9" ht="30" customHeight="1">
      <c r="A1942" s="1614"/>
      <c r="B1942" s="1627"/>
      <c r="C1942" s="3287" t="s">
        <v>813</v>
      </c>
      <c r="D1942" s="3288" t="s">
        <v>766</v>
      </c>
      <c r="E1942" s="3251">
        <f>69407+251972</f>
        <v>321379</v>
      </c>
      <c r="F1942" s="3251">
        <v>324259</v>
      </c>
      <c r="G1942" s="2166">
        <f>52970+208519</f>
        <v>261489</v>
      </c>
      <c r="H1942" s="3141">
        <v>229568.08</v>
      </c>
      <c r="I1942" s="1725">
        <f t="shared" si="413"/>
        <v>0.8779263372455437</v>
      </c>
    </row>
    <row r="1943" spans="1:9" ht="27" customHeight="1">
      <c r="A1943" s="1614"/>
      <c r="B1943" s="1627"/>
      <c r="C1943" s="3289" t="s">
        <v>814</v>
      </c>
      <c r="D1943" s="3290" t="s">
        <v>766</v>
      </c>
      <c r="E1943" s="3278">
        <f>12945+44466</f>
        <v>57411</v>
      </c>
      <c r="F1943" s="3278">
        <v>57909</v>
      </c>
      <c r="G1943" s="3291">
        <f>9881+36798</f>
        <v>46679</v>
      </c>
      <c r="H1943" s="3280">
        <v>40973.599999999999</v>
      </c>
      <c r="I1943" s="3292">
        <f t="shared" si="413"/>
        <v>0.87777373122817537</v>
      </c>
    </row>
    <row r="1944" spans="1:9" ht="17.100000000000001" customHeight="1">
      <c r="A1944" s="1614"/>
      <c r="B1944" s="1627"/>
      <c r="C1944" s="1659" t="s">
        <v>815</v>
      </c>
      <c r="D1944" s="1660" t="s">
        <v>767</v>
      </c>
      <c r="E1944" s="2254">
        <f>3371+42500</f>
        <v>45871</v>
      </c>
      <c r="F1944" s="2254">
        <v>11871</v>
      </c>
      <c r="G1944" s="1881">
        <f>3371+15130</f>
        <v>18501</v>
      </c>
      <c r="H1944" s="1663">
        <v>6972.08</v>
      </c>
      <c r="I1944" s="1769">
        <f t="shared" si="413"/>
        <v>0.37684881898275768</v>
      </c>
    </row>
    <row r="1945" spans="1:9" ht="17.100000000000001" customHeight="1">
      <c r="A1945" s="1614"/>
      <c r="B1945" s="1627"/>
      <c r="C1945" s="3281" t="s">
        <v>816</v>
      </c>
      <c r="D1945" s="3118" t="s">
        <v>767</v>
      </c>
      <c r="E1945" s="3278">
        <f>629+7500</f>
        <v>8129</v>
      </c>
      <c r="F1945" s="3278">
        <v>2129</v>
      </c>
      <c r="G1945" s="3291">
        <f>629+2670</f>
        <v>3299</v>
      </c>
      <c r="H1945" s="3280">
        <v>1243.92</v>
      </c>
      <c r="I1945" s="1769">
        <f t="shared" si="413"/>
        <v>0.37705971506517127</v>
      </c>
    </row>
    <row r="1946" spans="1:9" ht="17.100000000000001" customHeight="1">
      <c r="A1946" s="1614"/>
      <c r="B1946" s="1627"/>
      <c r="C1946" s="3281" t="s">
        <v>820</v>
      </c>
      <c r="D1946" s="3118" t="s">
        <v>771</v>
      </c>
      <c r="E1946" s="3278">
        <f>94646+340425</f>
        <v>435071</v>
      </c>
      <c r="F1946" s="3278">
        <v>294618</v>
      </c>
      <c r="G1946" s="3291">
        <f>49684+170000</f>
        <v>219684</v>
      </c>
      <c r="H1946" s="3280">
        <v>207841.85</v>
      </c>
      <c r="I1946" s="1769">
        <f t="shared" si="413"/>
        <v>0.94609461772363945</v>
      </c>
    </row>
    <row r="1947" spans="1:9" ht="17.100000000000001" customHeight="1">
      <c r="A1947" s="1614"/>
      <c r="B1947" s="1627"/>
      <c r="C1947" s="3281" t="s">
        <v>821</v>
      </c>
      <c r="D1947" s="3118" t="s">
        <v>771</v>
      </c>
      <c r="E1947" s="3278">
        <f>17654+60075</f>
        <v>77729</v>
      </c>
      <c r="F1947" s="3278">
        <v>52782</v>
      </c>
      <c r="G1947" s="3291">
        <f>9266+30000</f>
        <v>39266</v>
      </c>
      <c r="H1947" s="3280">
        <v>37153.26</v>
      </c>
      <c r="I1947" s="1769">
        <f t="shared" si="413"/>
        <v>0.94619416288901348</v>
      </c>
    </row>
    <row r="1948" spans="1:9" ht="17.100000000000001" customHeight="1">
      <c r="A1948" s="1614"/>
      <c r="B1948" s="1627"/>
      <c r="C1948" s="3158" t="s">
        <v>979</v>
      </c>
      <c r="D1948" s="3129" t="s">
        <v>773</v>
      </c>
      <c r="E1948" s="3278">
        <f>58153+127500</f>
        <v>185653</v>
      </c>
      <c r="F1948" s="3278">
        <v>97534</v>
      </c>
      <c r="G1948" s="3285">
        <f>33712+123250</f>
        <v>156962</v>
      </c>
      <c r="H1948" s="3280">
        <v>142342.57999999999</v>
      </c>
      <c r="I1948" s="1769">
        <f t="shared" si="413"/>
        <v>0.90686013175163405</v>
      </c>
    </row>
    <row r="1949" spans="1:9" ht="17.100000000000001" customHeight="1">
      <c r="A1949" s="1614"/>
      <c r="B1949" s="1627"/>
      <c r="C1949" s="1659" t="s">
        <v>980</v>
      </c>
      <c r="D1949" s="1660" t="s">
        <v>773</v>
      </c>
      <c r="E1949" s="3286">
        <f>10847+22500</f>
        <v>33347</v>
      </c>
      <c r="F1949" s="3286">
        <v>17466</v>
      </c>
      <c r="G1949" s="1881">
        <f>6288+21750</f>
        <v>28038</v>
      </c>
      <c r="H1949" s="3138">
        <v>25402.55</v>
      </c>
      <c r="I1949" s="1769">
        <f t="shared" si="413"/>
        <v>0.90600435123760603</v>
      </c>
    </row>
    <row r="1950" spans="1:9" ht="17.100000000000001" customHeight="1">
      <c r="A1950" s="1614"/>
      <c r="B1950" s="1627"/>
      <c r="C1950" s="3287" t="s">
        <v>822</v>
      </c>
      <c r="D1950" s="3288" t="s">
        <v>774</v>
      </c>
      <c r="E1950" s="3278">
        <f>8259+44965</f>
        <v>53224</v>
      </c>
      <c r="F1950" s="3278">
        <v>58886</v>
      </c>
      <c r="G1950" s="3285">
        <f>7711+30600</f>
        <v>38311</v>
      </c>
      <c r="H1950" s="3280">
        <v>34103.67</v>
      </c>
      <c r="I1950" s="1769">
        <f t="shared" si="413"/>
        <v>0.89017958288742127</v>
      </c>
    </row>
    <row r="1951" spans="1:9" ht="17.100000000000001" customHeight="1">
      <c r="A1951" s="1614"/>
      <c r="B1951" s="1627"/>
      <c r="C1951" s="3128" t="s">
        <v>823</v>
      </c>
      <c r="D1951" s="3129" t="s">
        <v>774</v>
      </c>
      <c r="E1951" s="3278">
        <f>1541+7935</f>
        <v>9476</v>
      </c>
      <c r="F1951" s="3278">
        <v>10514</v>
      </c>
      <c r="G1951" s="3285">
        <f>1439+5400</f>
        <v>6839</v>
      </c>
      <c r="H1951" s="3280">
        <v>6086.19</v>
      </c>
      <c r="I1951" s="1769">
        <f t="shared" si="413"/>
        <v>0.8899239654920309</v>
      </c>
    </row>
    <row r="1952" spans="1:9" ht="17.100000000000001" customHeight="1">
      <c r="A1952" s="1614"/>
      <c r="B1952" s="1627"/>
      <c r="C1952" s="1690" t="s">
        <v>981</v>
      </c>
      <c r="D1952" s="1691" t="s">
        <v>775</v>
      </c>
      <c r="E1952" s="2254">
        <f>2107+5457</f>
        <v>7564</v>
      </c>
      <c r="F1952" s="2254">
        <v>12110</v>
      </c>
      <c r="G1952" s="2264">
        <f>2528+9582</f>
        <v>12110</v>
      </c>
      <c r="H1952" s="1663">
        <v>7302.69</v>
      </c>
      <c r="I1952" s="1664">
        <f t="shared" si="413"/>
        <v>0.6030297274979356</v>
      </c>
    </row>
    <row r="1953" spans="1:9" ht="17.100000000000001" customHeight="1">
      <c r="A1953" s="1614"/>
      <c r="B1953" s="1627"/>
      <c r="C1953" s="3289" t="s">
        <v>982</v>
      </c>
      <c r="D1953" s="3290" t="s">
        <v>775</v>
      </c>
      <c r="E1953" s="3278">
        <f>393+963</f>
        <v>1356</v>
      </c>
      <c r="F1953" s="3278">
        <v>2164</v>
      </c>
      <c r="G1953" s="3291">
        <f>472+1692</f>
        <v>2164</v>
      </c>
      <c r="H1953" s="3280">
        <v>1306.01</v>
      </c>
      <c r="I1953" s="1664">
        <f t="shared" si="413"/>
        <v>0.60351663585951942</v>
      </c>
    </row>
    <row r="1954" spans="1:9" ht="17.100000000000001" customHeight="1">
      <c r="A1954" s="1614"/>
      <c r="B1954" s="1627"/>
      <c r="C1954" s="1659" t="s">
        <v>824</v>
      </c>
      <c r="D1954" s="1660" t="s">
        <v>776</v>
      </c>
      <c r="E1954" s="3278">
        <f>171847+388408</f>
        <v>560255</v>
      </c>
      <c r="F1954" s="3278">
        <v>1023231</v>
      </c>
      <c r="G1954" s="3291">
        <f>137461+361660</f>
        <v>499121</v>
      </c>
      <c r="H1954" s="3280">
        <v>336494.41</v>
      </c>
      <c r="I1954" s="1769">
        <f t="shared" si="413"/>
        <v>0.67417401792350951</v>
      </c>
    </row>
    <row r="1955" spans="1:9" ht="17.100000000000001" customHeight="1">
      <c r="A1955" s="1614"/>
      <c r="B1955" s="1627"/>
      <c r="C1955" s="3281" t="s">
        <v>825</v>
      </c>
      <c r="D1955" s="3118" t="s">
        <v>776</v>
      </c>
      <c r="E1955" s="3278">
        <f>32053+68542</f>
        <v>100595</v>
      </c>
      <c r="F1955" s="3278">
        <v>187108</v>
      </c>
      <c r="G1955" s="3285">
        <f>25639+63823</f>
        <v>89462</v>
      </c>
      <c r="H1955" s="3280">
        <v>59709.45</v>
      </c>
      <c r="I1955" s="1769">
        <f t="shared" si="413"/>
        <v>0.66742807001855531</v>
      </c>
    </row>
    <row r="1956" spans="1:9" ht="16.5" customHeight="1">
      <c r="A1956" s="1614"/>
      <c r="B1956" s="1627"/>
      <c r="C1956" s="3281" t="s">
        <v>983</v>
      </c>
      <c r="D1956" s="3118" t="s">
        <v>777</v>
      </c>
      <c r="E1956" s="3278">
        <f>6068+19380</f>
        <v>25448</v>
      </c>
      <c r="F1956" s="3278">
        <v>39864</v>
      </c>
      <c r="G1956" s="3285">
        <f>6743+22950</f>
        <v>29693</v>
      </c>
      <c r="H1956" s="3280">
        <v>25791.67</v>
      </c>
      <c r="I1956" s="1769">
        <f t="shared" ref="I1956:I2023" si="420">H1956/G1956</f>
        <v>0.86861112046610311</v>
      </c>
    </row>
    <row r="1957" spans="1:9" ht="16.5" customHeight="1">
      <c r="A1957" s="1614"/>
      <c r="B1957" s="1627"/>
      <c r="C1957" s="3281" t="s">
        <v>1008</v>
      </c>
      <c r="D1957" s="3118" t="s">
        <v>777</v>
      </c>
      <c r="E1957" s="3278">
        <f>1132+3420</f>
        <v>4552</v>
      </c>
      <c r="F1957" s="3278">
        <v>7136</v>
      </c>
      <c r="G1957" s="3285">
        <f>1257+4050</f>
        <v>5307</v>
      </c>
      <c r="H1957" s="3280">
        <v>4609.28</v>
      </c>
      <c r="I1957" s="1769">
        <f t="shared" si="420"/>
        <v>0.86852835877143386</v>
      </c>
    </row>
    <row r="1958" spans="1:9" ht="16.5" customHeight="1">
      <c r="A1958" s="1614"/>
      <c r="B1958" s="1627"/>
      <c r="C1958" s="3281" t="s">
        <v>918</v>
      </c>
      <c r="D1958" s="3118" t="s">
        <v>917</v>
      </c>
      <c r="E1958" s="3278">
        <f>421+1020</f>
        <v>1441</v>
      </c>
      <c r="F1958" s="3278">
        <v>421</v>
      </c>
      <c r="G1958" s="3285">
        <v>0</v>
      </c>
      <c r="H1958" s="3280">
        <v>0</v>
      </c>
      <c r="I1958" s="1769"/>
    </row>
    <row r="1959" spans="1:9" ht="16.5" customHeight="1">
      <c r="A1959" s="1614"/>
      <c r="B1959" s="1627"/>
      <c r="C1959" s="3281" t="s">
        <v>919</v>
      </c>
      <c r="D1959" s="3118" t="s">
        <v>917</v>
      </c>
      <c r="E1959" s="3278">
        <f>79+180</f>
        <v>259</v>
      </c>
      <c r="F1959" s="3278">
        <v>79</v>
      </c>
      <c r="G1959" s="3285">
        <v>0</v>
      </c>
      <c r="H1959" s="3280">
        <v>0</v>
      </c>
      <c r="I1959" s="1769"/>
    </row>
    <row r="1960" spans="1:9" ht="16.5" hidden="1" customHeight="1">
      <c r="A1960" s="1614"/>
      <c r="B1960" s="1627"/>
      <c r="C1960" s="3281" t="s">
        <v>826</v>
      </c>
      <c r="D1960" s="3118" t="s">
        <v>778</v>
      </c>
      <c r="E1960" s="3278"/>
      <c r="F1960" s="3278"/>
      <c r="G1960" s="3285"/>
      <c r="H1960" s="3280"/>
      <c r="I1960" s="1769" t="e">
        <f t="shared" si="420"/>
        <v>#DIV/0!</v>
      </c>
    </row>
    <row r="1961" spans="1:9" ht="16.5" hidden="1" customHeight="1">
      <c r="A1961" s="1614"/>
      <c r="B1961" s="1627"/>
      <c r="C1961" s="3281" t="s">
        <v>827</v>
      </c>
      <c r="D1961" s="3118" t="s">
        <v>778</v>
      </c>
      <c r="E1961" s="3278"/>
      <c r="F1961" s="3278"/>
      <c r="G1961" s="3285"/>
      <c r="H1961" s="3280"/>
      <c r="I1961" s="1769" t="e">
        <f t="shared" si="420"/>
        <v>#DIV/0!</v>
      </c>
    </row>
    <row r="1962" spans="1:9" ht="27" hidden="1" customHeight="1">
      <c r="A1962" s="1614"/>
      <c r="B1962" s="1627"/>
      <c r="C1962" s="3281" t="s">
        <v>985</v>
      </c>
      <c r="D1962" s="3118" t="s">
        <v>780</v>
      </c>
      <c r="E1962" s="3278">
        <f>153053+6800</f>
        <v>159853</v>
      </c>
      <c r="F1962" s="3278">
        <v>0</v>
      </c>
      <c r="G1962" s="3285">
        <v>0</v>
      </c>
      <c r="H1962" s="3280">
        <v>0</v>
      </c>
      <c r="I1962" s="1769" t="e">
        <f t="shared" si="420"/>
        <v>#DIV/0!</v>
      </c>
    </row>
    <row r="1963" spans="1:9" ht="27" hidden="1" customHeight="1">
      <c r="A1963" s="1614"/>
      <c r="B1963" s="1627"/>
      <c r="C1963" s="3281" t="s">
        <v>986</v>
      </c>
      <c r="D1963" s="3118" t="s">
        <v>780</v>
      </c>
      <c r="E1963" s="3278">
        <f>28547+1200</f>
        <v>29747</v>
      </c>
      <c r="F1963" s="3278">
        <v>0</v>
      </c>
      <c r="G1963" s="3285">
        <v>0</v>
      </c>
      <c r="H1963" s="3280">
        <v>0</v>
      </c>
      <c r="I1963" s="1769" t="e">
        <f t="shared" si="420"/>
        <v>#DIV/0!</v>
      </c>
    </row>
    <row r="1964" spans="1:9" ht="17.100000000000001" customHeight="1">
      <c r="A1964" s="1614"/>
      <c r="B1964" s="1627"/>
      <c r="C1964" s="3281" t="s">
        <v>828</v>
      </c>
      <c r="D1964" s="3118" t="s">
        <v>781</v>
      </c>
      <c r="E1964" s="3278">
        <f>21070+44200</f>
        <v>65270</v>
      </c>
      <c r="F1964" s="3278">
        <v>61920</v>
      </c>
      <c r="G1964" s="3285">
        <f>3876+19550</f>
        <v>23426</v>
      </c>
      <c r="H1964" s="3280">
        <v>9302.17</v>
      </c>
      <c r="I1964" s="1769">
        <f t="shared" si="420"/>
        <v>0.39708742422948862</v>
      </c>
    </row>
    <row r="1965" spans="1:9" ht="17.100000000000001" customHeight="1">
      <c r="A1965" s="1614"/>
      <c r="B1965" s="1627"/>
      <c r="C1965" s="3281" t="s">
        <v>829</v>
      </c>
      <c r="D1965" s="3118" t="s">
        <v>781</v>
      </c>
      <c r="E1965" s="3278">
        <f>3930+7800</f>
        <v>11730</v>
      </c>
      <c r="F1965" s="3278">
        <v>11080</v>
      </c>
      <c r="G1965" s="3285">
        <f>724+3450</f>
        <v>4174</v>
      </c>
      <c r="H1965" s="3280">
        <v>1656.41</v>
      </c>
      <c r="I1965" s="1769">
        <f t="shared" si="420"/>
        <v>0.39683996166746527</v>
      </c>
    </row>
    <row r="1966" spans="1:9" ht="17.100000000000001" hidden="1" customHeight="1">
      <c r="A1966" s="1614"/>
      <c r="B1966" s="1627"/>
      <c r="C1966" s="3281" t="s">
        <v>987</v>
      </c>
      <c r="D1966" s="3118" t="s">
        <v>787</v>
      </c>
      <c r="E1966" s="3278">
        <f>1938+6800</f>
        <v>8738</v>
      </c>
      <c r="F1966" s="3278">
        <v>0</v>
      </c>
      <c r="G1966" s="3285">
        <v>0</v>
      </c>
      <c r="H1966" s="3280">
        <v>0</v>
      </c>
      <c r="I1966" s="1769"/>
    </row>
    <row r="1967" spans="1:9" ht="17.100000000000001" hidden="1" customHeight="1">
      <c r="A1967" s="1614"/>
      <c r="B1967" s="1627"/>
      <c r="C1967" s="3281" t="s">
        <v>988</v>
      </c>
      <c r="D1967" s="3118" t="s">
        <v>787</v>
      </c>
      <c r="E1967" s="3278">
        <f>362+1200</f>
        <v>1562</v>
      </c>
      <c r="F1967" s="3278">
        <v>0</v>
      </c>
      <c r="G1967" s="3285">
        <v>0</v>
      </c>
      <c r="H1967" s="3280">
        <v>0</v>
      </c>
      <c r="I1967" s="1769"/>
    </row>
    <row r="1968" spans="1:9" ht="17.100000000000001" customHeight="1">
      <c r="A1968" s="1614"/>
      <c r="B1968" s="1627"/>
      <c r="C1968" s="3281" t="s">
        <v>990</v>
      </c>
      <c r="D1968" s="3118" t="s">
        <v>849</v>
      </c>
      <c r="E1968" s="3278">
        <f>1686+5525</f>
        <v>7211</v>
      </c>
      <c r="F1968" s="3278">
        <v>5936</v>
      </c>
      <c r="G1968" s="3285">
        <f>1686+4250</f>
        <v>5936</v>
      </c>
      <c r="H1968" s="3280">
        <v>1493.45</v>
      </c>
      <c r="I1968" s="1769">
        <f t="shared" si="420"/>
        <v>0.25159198113207548</v>
      </c>
    </row>
    <row r="1969" spans="1:9" ht="17.100000000000001" customHeight="1">
      <c r="A1969" s="1614"/>
      <c r="B1969" s="1627"/>
      <c r="C1969" s="3281" t="s">
        <v>991</v>
      </c>
      <c r="D1969" s="3118" t="s">
        <v>849</v>
      </c>
      <c r="E1969" s="3278">
        <f>314+975</f>
        <v>1289</v>
      </c>
      <c r="F1969" s="3278">
        <v>1064</v>
      </c>
      <c r="G1969" s="3285">
        <f>314+750</f>
        <v>1064</v>
      </c>
      <c r="H1969" s="3280">
        <v>263.55</v>
      </c>
      <c r="I1969" s="1769">
        <f t="shared" si="420"/>
        <v>0.24769736842105264</v>
      </c>
    </row>
    <row r="1970" spans="1:9" ht="28.5" customHeight="1" thickBot="1">
      <c r="A1970" s="1644"/>
      <c r="B1970" s="1645"/>
      <c r="C1970" s="3119" t="s">
        <v>834</v>
      </c>
      <c r="D1970" s="3120" t="s">
        <v>790</v>
      </c>
      <c r="E1970" s="2017">
        <f>46354+174250</f>
        <v>220604</v>
      </c>
      <c r="F1970" s="2017">
        <v>179862</v>
      </c>
      <c r="G1970" s="3293">
        <f>22756+113050</f>
        <v>135806</v>
      </c>
      <c r="H1970" s="1747">
        <v>102234.46</v>
      </c>
      <c r="I1970" s="1651">
        <f t="shared" si="420"/>
        <v>0.75279781452954952</v>
      </c>
    </row>
    <row r="1971" spans="1:9" ht="28.5" customHeight="1">
      <c r="A1971" s="1638"/>
      <c r="B1971" s="1638"/>
      <c r="C1971" s="1690" t="s">
        <v>835</v>
      </c>
      <c r="D1971" s="1691" t="s">
        <v>790</v>
      </c>
      <c r="E1971" s="2254">
        <f>8646+30750</f>
        <v>39396</v>
      </c>
      <c r="F1971" s="2254">
        <v>32138</v>
      </c>
      <c r="G1971" s="2264">
        <f>4244+19950</f>
        <v>24194</v>
      </c>
      <c r="H1971" s="1663">
        <v>18111.25</v>
      </c>
      <c r="I1971" s="1664">
        <f t="shared" si="420"/>
        <v>0.74858435975861781</v>
      </c>
    </row>
    <row r="1972" spans="1:9" ht="19.5" customHeight="1">
      <c r="A1972" s="1638"/>
      <c r="B1972" s="1638"/>
      <c r="C1972" s="1659" t="s">
        <v>836</v>
      </c>
      <c r="D1972" s="1660" t="s">
        <v>768</v>
      </c>
      <c r="E1972" s="2254"/>
      <c r="F1972" s="2254">
        <v>198526</v>
      </c>
      <c r="G1972" s="2264">
        <f>7263+28597</f>
        <v>35860</v>
      </c>
      <c r="H1972" s="1663">
        <v>28033.86</v>
      </c>
      <c r="I1972" s="1664">
        <f t="shared" si="420"/>
        <v>0.78175850529838264</v>
      </c>
    </row>
    <row r="1973" spans="1:9" ht="20.25" customHeight="1">
      <c r="A1973" s="1614"/>
      <c r="B1973" s="1627"/>
      <c r="C1973" s="3272" t="s">
        <v>837</v>
      </c>
      <c r="D1973" s="3118" t="s">
        <v>768</v>
      </c>
      <c r="E1973" s="3269">
        <f>8646+30750</f>
        <v>39396</v>
      </c>
      <c r="F1973" s="3269">
        <v>35453</v>
      </c>
      <c r="G1973" s="3285">
        <f>1355+5045</f>
        <v>6400</v>
      </c>
      <c r="H1973" s="3270">
        <v>4994.8</v>
      </c>
      <c r="I1973" s="1769">
        <f t="shared" si="420"/>
        <v>0.78043750000000001</v>
      </c>
    </row>
    <row r="1974" spans="1:9" ht="12.75" customHeight="1">
      <c r="A1974" s="1614"/>
      <c r="B1974" s="1627"/>
      <c r="C1974" s="1876"/>
      <c r="D1974" s="1877"/>
      <c r="E1974" s="1878"/>
      <c r="F1974" s="1878"/>
      <c r="G1974" s="3285"/>
      <c r="H1974" s="3270"/>
      <c r="I1974" s="1769"/>
    </row>
    <row r="1975" spans="1:9" ht="17.100000000000001" customHeight="1">
      <c r="A1975" s="1614"/>
      <c r="B1975" s="1627"/>
      <c r="C1975" s="4635" t="s">
        <v>793</v>
      </c>
      <c r="D1975" s="4635"/>
      <c r="E1975" s="1615">
        <f>E1976</f>
        <v>483000</v>
      </c>
      <c r="F1975" s="1615">
        <f t="shared" ref="F1975" si="421">F1976</f>
        <v>180000</v>
      </c>
      <c r="G1975" s="1616">
        <f>G1976</f>
        <v>180000</v>
      </c>
      <c r="H1975" s="1617">
        <f>H1976</f>
        <v>145858.21</v>
      </c>
      <c r="I1975" s="1780">
        <f t="shared" si="420"/>
        <v>0.81032338888888888</v>
      </c>
    </row>
    <row r="1976" spans="1:9" ht="17.100000000000001" customHeight="1">
      <c r="A1976" s="1614"/>
      <c r="B1976" s="1627"/>
      <c r="C1976" s="4728" t="s">
        <v>794</v>
      </c>
      <c r="D1976" s="4728"/>
      <c r="E1976" s="3294">
        <f>SUM(E1977:E1980)</f>
        <v>483000</v>
      </c>
      <c r="F1976" s="3294">
        <f t="shared" ref="F1976" si="422">SUM(F1977:F1980)</f>
        <v>180000</v>
      </c>
      <c r="G1976" s="3149">
        <f>SUM(G1977:G1980)</f>
        <v>180000</v>
      </c>
      <c r="H1976" s="3270">
        <f>SUM(H1977:H1980)</f>
        <v>145858.21</v>
      </c>
      <c r="I1976" s="1769">
        <f t="shared" si="420"/>
        <v>0.81032338888888888</v>
      </c>
    </row>
    <row r="1977" spans="1:9" ht="17.100000000000001" customHeight="1">
      <c r="A1977" s="1614"/>
      <c r="B1977" s="1627"/>
      <c r="C1977" s="3281" t="s">
        <v>89</v>
      </c>
      <c r="D1977" s="3118" t="s">
        <v>795</v>
      </c>
      <c r="E1977" s="3294">
        <v>0</v>
      </c>
      <c r="F1977" s="3294">
        <v>50000</v>
      </c>
      <c r="G1977" s="3285">
        <v>50000</v>
      </c>
      <c r="H1977" s="3270">
        <v>36379.71</v>
      </c>
      <c r="I1977" s="1769">
        <f t="shared" si="420"/>
        <v>0.72759419999999997</v>
      </c>
    </row>
    <row r="1978" spans="1:9" ht="18" customHeight="1" thickBot="1">
      <c r="A1978" s="1638"/>
      <c r="B1978" s="1645"/>
      <c r="C1978" s="3119" t="s">
        <v>24</v>
      </c>
      <c r="D1978" s="3120" t="s">
        <v>842</v>
      </c>
      <c r="E1978" s="1678">
        <v>453000</v>
      </c>
      <c r="F1978" s="1678">
        <v>130000</v>
      </c>
      <c r="G1978" s="3029">
        <v>130000</v>
      </c>
      <c r="H1978" s="1747">
        <v>109478.5</v>
      </c>
      <c r="I1978" s="1769">
        <f t="shared" si="420"/>
        <v>0.84214230769230769</v>
      </c>
    </row>
    <row r="1979" spans="1:9" ht="17.100000000000001" hidden="1" customHeight="1">
      <c r="A1979" s="1638"/>
      <c r="B1979" s="1627"/>
      <c r="C1979" s="1659" t="s">
        <v>905</v>
      </c>
      <c r="D1979" s="1660" t="s">
        <v>842</v>
      </c>
      <c r="E1979" s="3137">
        <v>25500</v>
      </c>
      <c r="F1979" s="3137">
        <v>0</v>
      </c>
      <c r="G1979" s="1881"/>
      <c r="H1979" s="3138"/>
      <c r="I1979" s="1769" t="e">
        <f t="shared" si="420"/>
        <v>#DIV/0!</v>
      </c>
    </row>
    <row r="1980" spans="1:9" ht="17.100000000000001" hidden="1" customHeight="1">
      <c r="A1980" s="1638"/>
      <c r="B1980" s="1627"/>
      <c r="C1980" s="3281" t="s">
        <v>890</v>
      </c>
      <c r="D1980" s="3118" t="s">
        <v>842</v>
      </c>
      <c r="E1980" s="3294">
        <v>4500</v>
      </c>
      <c r="F1980" s="3294">
        <v>0</v>
      </c>
      <c r="G1980" s="3285"/>
      <c r="H1980" s="3270"/>
      <c r="I1980" s="1769" t="e">
        <f t="shared" si="420"/>
        <v>#DIV/0!</v>
      </c>
    </row>
    <row r="1981" spans="1:9" ht="15" hidden="1" customHeight="1">
      <c r="A1981" s="1638"/>
      <c r="B1981" s="1627"/>
      <c r="C1981" s="1688"/>
      <c r="D1981" s="1704"/>
      <c r="E1981" s="1705"/>
      <c r="F1981" s="1705"/>
      <c r="G1981" s="3285"/>
      <c r="H1981" s="3270"/>
      <c r="I1981" s="1769" t="e">
        <f t="shared" si="420"/>
        <v>#DIV/0!</v>
      </c>
    </row>
    <row r="1982" spans="1:9" ht="20.25" hidden="1" customHeight="1">
      <c r="A1982" s="1638"/>
      <c r="B1982" s="1627"/>
      <c r="C1982" s="4729" t="s">
        <v>801</v>
      </c>
      <c r="D1982" s="4730"/>
      <c r="E1982" s="3294">
        <f>SUM(E1983:E1984)</f>
        <v>30000</v>
      </c>
      <c r="F1982" s="3294">
        <f t="shared" ref="F1982" si="423">SUM(F1983:F1984)</f>
        <v>0</v>
      </c>
      <c r="G1982" s="3285"/>
      <c r="H1982" s="3270"/>
      <c r="I1982" s="1769" t="e">
        <f t="shared" si="420"/>
        <v>#DIV/0!</v>
      </c>
    </row>
    <row r="1983" spans="1:9" ht="17.100000000000001" hidden="1" customHeight="1">
      <c r="A1983" s="1638"/>
      <c r="B1983" s="1627"/>
      <c r="C1983" s="3242" t="s">
        <v>905</v>
      </c>
      <c r="D1983" s="3295" t="s">
        <v>842</v>
      </c>
      <c r="E1983" s="3294">
        <v>25500</v>
      </c>
      <c r="F1983" s="3294">
        <v>0</v>
      </c>
      <c r="G1983" s="3285"/>
      <c r="H1983" s="3270"/>
      <c r="I1983" s="1769" t="e">
        <f t="shared" si="420"/>
        <v>#DIV/0!</v>
      </c>
    </row>
    <row r="1984" spans="1:9" ht="17.100000000000001" hidden="1" customHeight="1" thickBot="1">
      <c r="A1984" s="1638"/>
      <c r="B1984" s="1627"/>
      <c r="C1984" s="3296" t="s">
        <v>890</v>
      </c>
      <c r="D1984" s="3297" t="s">
        <v>842</v>
      </c>
      <c r="E1984" s="3139">
        <v>4500</v>
      </c>
      <c r="F1984" s="3139">
        <v>0</v>
      </c>
      <c r="G1984" s="3298"/>
      <c r="H1984" s="3141"/>
      <c r="I1984" s="1725" t="e">
        <f t="shared" si="420"/>
        <v>#DIV/0!</v>
      </c>
    </row>
    <row r="1985" spans="1:9" ht="17.100000000000001" customHeight="1" thickBot="1">
      <c r="A1985" s="1638"/>
      <c r="B1985" s="3010" t="s">
        <v>159</v>
      </c>
      <c r="C1985" s="3011"/>
      <c r="D1985" s="3012" t="s">
        <v>95</v>
      </c>
      <c r="E1985" s="3013">
        <f>E1986+E2017</f>
        <v>16420677</v>
      </c>
      <c r="F1985" s="3013">
        <f t="shared" ref="F1985:H1985" si="424">F1986+F2017</f>
        <v>5130105</v>
      </c>
      <c r="G1985" s="3014">
        <f t="shared" si="424"/>
        <v>7395984</v>
      </c>
      <c r="H1985" s="3015">
        <f t="shared" si="424"/>
        <v>6834233.3799999999</v>
      </c>
      <c r="I1985" s="3016">
        <f t="shared" si="420"/>
        <v>0.9240465339027234</v>
      </c>
    </row>
    <row r="1986" spans="1:9" ht="17.100000000000001" customHeight="1">
      <c r="A1986" s="1614"/>
      <c r="B1986" s="4687"/>
      <c r="C1986" s="4633" t="s">
        <v>760</v>
      </c>
      <c r="D1986" s="4633"/>
      <c r="E1986" s="1615">
        <f>E1987+E1995</f>
        <v>16111216</v>
      </c>
      <c r="F1986" s="1615">
        <f t="shared" ref="F1986:H1986" si="425">F1987+F1995</f>
        <v>5130105</v>
      </c>
      <c r="G1986" s="1616">
        <f t="shared" si="425"/>
        <v>7389811</v>
      </c>
      <c r="H1986" s="1617">
        <f t="shared" si="425"/>
        <v>6828061.7000000002</v>
      </c>
      <c r="I1986" s="1780">
        <f t="shared" si="420"/>
        <v>0.9239832656071989</v>
      </c>
    </row>
    <row r="1987" spans="1:9" ht="17.100000000000001" customHeight="1">
      <c r="A1987" s="1614"/>
      <c r="B1987" s="4687"/>
      <c r="C1987" s="4731" t="s">
        <v>838</v>
      </c>
      <c r="D1987" s="4731"/>
      <c r="E1987" s="3139">
        <f>SUM(E1988:E1993)</f>
        <v>16024359</v>
      </c>
      <c r="F1987" s="3139">
        <f t="shared" ref="F1987:H1987" si="426">SUM(F1988:F1993)</f>
        <v>5053159</v>
      </c>
      <c r="G1987" s="3140">
        <f t="shared" si="426"/>
        <v>7303938</v>
      </c>
      <c r="H1987" s="3141">
        <f t="shared" si="426"/>
        <v>6748082.1900000004</v>
      </c>
      <c r="I1987" s="1769">
        <f t="shared" si="420"/>
        <v>0.92389642272428929</v>
      </c>
    </row>
    <row r="1988" spans="1:9" ht="69" customHeight="1">
      <c r="A1988" s="1614"/>
      <c r="B1988" s="4687"/>
      <c r="C1988" s="3299" t="s">
        <v>689</v>
      </c>
      <c r="D1988" s="3300" t="s">
        <v>856</v>
      </c>
      <c r="E1988" s="3301">
        <f>5616849+8807670</f>
        <v>14424519</v>
      </c>
      <c r="F1988" s="3301">
        <v>5053159</v>
      </c>
      <c r="G1988" s="3291">
        <v>6612148</v>
      </c>
      <c r="H1988" s="3280">
        <v>6056307.4000000004</v>
      </c>
      <c r="I1988" s="1769">
        <f t="shared" si="420"/>
        <v>0.91593645514286737</v>
      </c>
    </row>
    <row r="1989" spans="1:9" ht="66" customHeight="1">
      <c r="A1989" s="1614"/>
      <c r="B1989" s="4687"/>
      <c r="C1989" s="3302" t="s">
        <v>528</v>
      </c>
      <c r="D1989" s="3303" t="s">
        <v>805</v>
      </c>
      <c r="E1989" s="3301">
        <v>1084649</v>
      </c>
      <c r="F1989" s="3301">
        <v>0</v>
      </c>
      <c r="G1989" s="3304">
        <v>203955</v>
      </c>
      <c r="H1989" s="3280">
        <v>203954.65</v>
      </c>
      <c r="I1989" s="1769">
        <f t="shared" si="420"/>
        <v>0.99999828393518175</v>
      </c>
    </row>
    <row r="1990" spans="1:9" ht="41.25" customHeight="1">
      <c r="A1990" s="1614"/>
      <c r="B1990" s="1684"/>
      <c r="C1990" s="3305" t="s">
        <v>86</v>
      </c>
      <c r="D1990" s="3306" t="s">
        <v>941</v>
      </c>
      <c r="E1990" s="3301"/>
      <c r="F1990" s="3301">
        <v>0</v>
      </c>
      <c r="G1990" s="3307">
        <v>0</v>
      </c>
      <c r="H1990" s="3280">
        <v>0</v>
      </c>
      <c r="I1990" s="1769"/>
    </row>
    <row r="1991" spans="1:9" ht="54" customHeight="1">
      <c r="A1991" s="1614"/>
      <c r="B1991" s="1684"/>
      <c r="C1991" s="2753" t="s">
        <v>687</v>
      </c>
      <c r="D1991" s="3308" t="s">
        <v>853</v>
      </c>
      <c r="E1991" s="1661">
        <v>1686</v>
      </c>
      <c r="F1991" s="1668">
        <v>0</v>
      </c>
      <c r="G1991" s="1881">
        <v>2152</v>
      </c>
      <c r="H1991" s="1663">
        <v>2148.9499999999998</v>
      </c>
      <c r="I1991" s="1769">
        <f t="shared" si="420"/>
        <v>0.9985827137546468</v>
      </c>
    </row>
    <row r="1992" spans="1:9" ht="53.25" customHeight="1" thickBot="1">
      <c r="A1992" s="1644"/>
      <c r="B1992" s="1849"/>
      <c r="C1992" s="3309" t="s">
        <v>634</v>
      </c>
      <c r="D1992" s="2530" t="s">
        <v>853</v>
      </c>
      <c r="E1992" s="1678">
        <f>299+834</f>
        <v>1133</v>
      </c>
      <c r="F1992" s="1678">
        <v>0</v>
      </c>
      <c r="G1992" s="3029">
        <v>16391</v>
      </c>
      <c r="H1992" s="1747">
        <v>16386.59</v>
      </c>
      <c r="I1992" s="1651">
        <f t="shared" si="420"/>
        <v>0.99973094991153688</v>
      </c>
    </row>
    <row r="1993" spans="1:9" ht="15" customHeight="1">
      <c r="A1993" s="1614"/>
      <c r="B1993" s="1684"/>
      <c r="C1993" s="2333" t="s">
        <v>635</v>
      </c>
      <c r="D1993" s="3310" t="s">
        <v>858</v>
      </c>
      <c r="E1993" s="1661">
        <f>21572+490800</f>
        <v>512372</v>
      </c>
      <c r="F1993" s="1661">
        <v>0</v>
      </c>
      <c r="G1993" s="1881">
        <v>469292</v>
      </c>
      <c r="H1993" s="1663">
        <v>469284.6</v>
      </c>
      <c r="I1993" s="1769">
        <f t="shared" si="420"/>
        <v>0.99998423156584804</v>
      </c>
    </row>
    <row r="1994" spans="1:9" ht="18" customHeight="1">
      <c r="A1994" s="1638"/>
      <c r="B1994" s="1779"/>
      <c r="C1994" s="3305"/>
      <c r="D1994" s="3311"/>
      <c r="E1994" s="3294"/>
      <c r="F1994" s="3294"/>
      <c r="G1994" s="3291"/>
      <c r="H1994" s="3270"/>
      <c r="I1994" s="3292"/>
    </row>
    <row r="1995" spans="1:9" ht="27" customHeight="1">
      <c r="A1995" s="1638"/>
      <c r="B1995" s="1779"/>
      <c r="C1995" s="4720" t="s">
        <v>803</v>
      </c>
      <c r="D1995" s="4720"/>
      <c r="E1995" s="1668">
        <f>SUM(E1996:E2015)</f>
        <v>86857</v>
      </c>
      <c r="F1995" s="1668">
        <f t="shared" ref="F1995:H1995" si="427">SUM(F1996:F2015)</f>
        <v>76946</v>
      </c>
      <c r="G1995" s="2134">
        <f>SUM(G1996:G2015)</f>
        <v>85873</v>
      </c>
      <c r="H1995" s="1818">
        <f t="shared" si="427"/>
        <v>79979.509999999995</v>
      </c>
      <c r="I1995" s="1769">
        <f t="shared" si="420"/>
        <v>0.93136969711084971</v>
      </c>
    </row>
    <row r="1996" spans="1:9" ht="18" customHeight="1">
      <c r="A1996" s="1614"/>
      <c r="B1996" s="1684"/>
      <c r="C1996" s="3312" t="s">
        <v>859</v>
      </c>
      <c r="D1996" s="3313" t="s">
        <v>763</v>
      </c>
      <c r="E1996" s="3294">
        <v>55369</v>
      </c>
      <c r="F1996" s="3294">
        <v>48844</v>
      </c>
      <c r="G1996" s="3314">
        <f>55128</f>
        <v>55128</v>
      </c>
      <c r="H1996" s="3270">
        <v>51105.120000000003</v>
      </c>
      <c r="I1996" s="1769">
        <f t="shared" si="420"/>
        <v>0.92702655637788423</v>
      </c>
    </row>
    <row r="1997" spans="1:9" ht="18.75" customHeight="1">
      <c r="A1997" s="1614"/>
      <c r="B1997" s="1684"/>
      <c r="C1997" s="3312" t="s">
        <v>808</v>
      </c>
      <c r="D1997" s="1696" t="s">
        <v>763</v>
      </c>
      <c r="E1997" s="3294">
        <v>10327</v>
      </c>
      <c r="F1997" s="3294">
        <v>9111</v>
      </c>
      <c r="G1997" s="3314">
        <f>10283</f>
        <v>10283</v>
      </c>
      <c r="H1997" s="3270">
        <v>9532.2199999999993</v>
      </c>
      <c r="I1997" s="1769">
        <f t="shared" si="420"/>
        <v>0.92698823300593203</v>
      </c>
    </row>
    <row r="1998" spans="1:9" ht="18.75" customHeight="1">
      <c r="A1998" s="1614"/>
      <c r="B1998" s="1684"/>
      <c r="C1998" s="3315" t="s">
        <v>860</v>
      </c>
      <c r="D1998" s="3316" t="s">
        <v>764</v>
      </c>
      <c r="E1998" s="3294">
        <v>3284</v>
      </c>
      <c r="F1998" s="3294">
        <v>3572</v>
      </c>
      <c r="G1998" s="3314">
        <f>3572</f>
        <v>3572</v>
      </c>
      <c r="H1998" s="3270">
        <v>3570.58</v>
      </c>
      <c r="I1998" s="1769">
        <f t="shared" si="420"/>
        <v>0.99960246360582306</v>
      </c>
    </row>
    <row r="1999" spans="1:9" ht="18.75" customHeight="1">
      <c r="A1999" s="1614"/>
      <c r="B1999" s="1684"/>
      <c r="C1999" s="2916" t="s">
        <v>810</v>
      </c>
      <c r="D1999" s="1905" t="s">
        <v>764</v>
      </c>
      <c r="E1999" s="1661">
        <v>612</v>
      </c>
      <c r="F1999" s="1661">
        <v>666</v>
      </c>
      <c r="G1999" s="1881">
        <f>666</f>
        <v>666</v>
      </c>
      <c r="H1999" s="1663">
        <v>665.99</v>
      </c>
      <c r="I1999" s="1769">
        <f t="shared" si="420"/>
        <v>0.999984984984985</v>
      </c>
    </row>
    <row r="2000" spans="1:9" ht="17.25" customHeight="1">
      <c r="A2000" s="1614"/>
      <c r="B2000" s="1684"/>
      <c r="C2000" s="2333" t="s">
        <v>861</v>
      </c>
      <c r="D2000" s="2805" t="s">
        <v>765</v>
      </c>
      <c r="E2000" s="3137">
        <v>9932</v>
      </c>
      <c r="F2000" s="3137">
        <v>8874</v>
      </c>
      <c r="G2000" s="1881">
        <f>9950</f>
        <v>9950</v>
      </c>
      <c r="H2000" s="3138">
        <v>9322.08</v>
      </c>
      <c r="I2000" s="1769">
        <f t="shared" si="420"/>
        <v>0.93689246231155776</v>
      </c>
    </row>
    <row r="2001" spans="1:9" ht="21" customHeight="1">
      <c r="A2001" s="1614"/>
      <c r="B2001" s="1684"/>
      <c r="C2001" s="1659" t="s">
        <v>812</v>
      </c>
      <c r="D2001" s="3317" t="s">
        <v>765</v>
      </c>
      <c r="E2001" s="3294">
        <v>1853</v>
      </c>
      <c r="F2001" s="3294">
        <v>1655</v>
      </c>
      <c r="G2001" s="3314">
        <f>1856</f>
        <v>1856</v>
      </c>
      <c r="H2001" s="3270">
        <v>1738.8</v>
      </c>
      <c r="I2001" s="1769">
        <f t="shared" si="420"/>
        <v>0.93685344827586203</v>
      </c>
    </row>
    <row r="2002" spans="1:9" ht="25.5" customHeight="1">
      <c r="A2002" s="1614"/>
      <c r="B2002" s="1684"/>
      <c r="C2002" s="3318" t="s">
        <v>862</v>
      </c>
      <c r="D2002" s="3319" t="s">
        <v>766</v>
      </c>
      <c r="E2002" s="3294">
        <v>1437</v>
      </c>
      <c r="F2002" s="3294">
        <v>1284</v>
      </c>
      <c r="G2002" s="3314">
        <f>1440</f>
        <v>1440</v>
      </c>
      <c r="H2002" s="3270">
        <v>1320.96</v>
      </c>
      <c r="I2002" s="1769">
        <f t="shared" si="420"/>
        <v>0.91733333333333333</v>
      </c>
    </row>
    <row r="2003" spans="1:9" ht="25.5">
      <c r="A2003" s="1614"/>
      <c r="B2003" s="1684"/>
      <c r="C2003" s="1659" t="s">
        <v>814</v>
      </c>
      <c r="D2003" s="1660" t="s">
        <v>766</v>
      </c>
      <c r="E2003" s="3137">
        <v>269</v>
      </c>
      <c r="F2003" s="3137">
        <v>240</v>
      </c>
      <c r="G2003" s="1881">
        <f>270</f>
        <v>270</v>
      </c>
      <c r="H2003" s="3138">
        <v>246.4</v>
      </c>
      <c r="I2003" s="1769">
        <f t="shared" si="420"/>
        <v>0.91259259259259262</v>
      </c>
    </row>
    <row r="2004" spans="1:9" ht="25.5" hidden="1">
      <c r="A2004" s="1614"/>
      <c r="B2004" s="1684"/>
      <c r="C2004" s="3320" t="s">
        <v>863</v>
      </c>
      <c r="D2004" s="3321" t="s">
        <v>766</v>
      </c>
      <c r="E2004" s="3294"/>
      <c r="F2004" s="3294">
        <v>0</v>
      </c>
      <c r="G2004" s="3314">
        <v>0</v>
      </c>
      <c r="H2004" s="3270">
        <v>0</v>
      </c>
      <c r="I2004" s="1769" t="e">
        <f t="shared" si="420"/>
        <v>#DIV/0!</v>
      </c>
    </row>
    <row r="2005" spans="1:9" ht="25.5" hidden="1">
      <c r="A2005" s="1614"/>
      <c r="B2005" s="1684"/>
      <c r="C2005" s="3312" t="s">
        <v>821</v>
      </c>
      <c r="D2005" s="3321" t="s">
        <v>766</v>
      </c>
      <c r="E2005" s="3294"/>
      <c r="F2005" s="3294">
        <v>0</v>
      </c>
      <c r="G2005" s="3314">
        <v>0</v>
      </c>
      <c r="H2005" s="3270">
        <v>0</v>
      </c>
      <c r="I2005" s="1769" t="e">
        <f t="shared" si="420"/>
        <v>#DIV/0!</v>
      </c>
    </row>
    <row r="2006" spans="1:9" ht="18" hidden="1" customHeight="1">
      <c r="A2006" s="1614"/>
      <c r="B2006" s="1684"/>
      <c r="C2006" s="3312" t="s">
        <v>1128</v>
      </c>
      <c r="D2006" s="3321" t="s">
        <v>775</v>
      </c>
      <c r="E2006" s="3294">
        <v>61</v>
      </c>
      <c r="F2006" s="3294">
        <v>0</v>
      </c>
      <c r="G2006" s="3314">
        <v>0</v>
      </c>
      <c r="H2006" s="3270">
        <v>0</v>
      </c>
      <c r="I2006" s="1769" t="e">
        <f t="shared" si="420"/>
        <v>#DIV/0!</v>
      </c>
    </row>
    <row r="2007" spans="1:9" ht="17.25" hidden="1" customHeight="1">
      <c r="A2007" s="1614"/>
      <c r="B2007" s="1684"/>
      <c r="C2007" s="3312" t="s">
        <v>982</v>
      </c>
      <c r="D2007" s="3321" t="s">
        <v>775</v>
      </c>
      <c r="E2007" s="3294">
        <v>12</v>
      </c>
      <c r="F2007" s="3294">
        <v>0</v>
      </c>
      <c r="G2007" s="3314">
        <v>0</v>
      </c>
      <c r="H2007" s="3270">
        <v>0</v>
      </c>
      <c r="I2007" s="1769" t="e">
        <f t="shared" si="420"/>
        <v>#DIV/0!</v>
      </c>
    </row>
    <row r="2008" spans="1:9" ht="18.75" hidden="1" customHeight="1">
      <c r="A2008" s="1614"/>
      <c r="B2008" s="1684"/>
      <c r="C2008" s="3312" t="s">
        <v>864</v>
      </c>
      <c r="D2008" s="3321" t="s">
        <v>776</v>
      </c>
      <c r="E2008" s="3294"/>
      <c r="F2008" s="3294"/>
      <c r="G2008" s="3314"/>
      <c r="H2008" s="3270"/>
      <c r="I2008" s="1769" t="e">
        <f t="shared" si="420"/>
        <v>#DIV/0!</v>
      </c>
    </row>
    <row r="2009" spans="1:9" ht="18" hidden="1" customHeight="1">
      <c r="A2009" s="1614"/>
      <c r="B2009" s="1684"/>
      <c r="C2009" s="3312" t="s">
        <v>825</v>
      </c>
      <c r="D2009" s="3321" t="s">
        <v>776</v>
      </c>
      <c r="E2009" s="3294"/>
      <c r="F2009" s="3294"/>
      <c r="G2009" s="3314"/>
      <c r="H2009" s="3270"/>
      <c r="I2009" s="1769" t="e">
        <f t="shared" si="420"/>
        <v>#DIV/0!</v>
      </c>
    </row>
    <row r="2010" spans="1:9" ht="18" customHeight="1">
      <c r="A2010" s="1614"/>
      <c r="B2010" s="1684"/>
      <c r="C2010" s="3312" t="s">
        <v>866</v>
      </c>
      <c r="D2010" s="3321" t="s">
        <v>781</v>
      </c>
      <c r="E2010" s="3294">
        <v>2083</v>
      </c>
      <c r="F2010" s="3294">
        <v>969</v>
      </c>
      <c r="G2010" s="3314">
        <f>906</f>
        <v>906</v>
      </c>
      <c r="H2010" s="3270">
        <v>724.4</v>
      </c>
      <c r="I2010" s="1769">
        <f t="shared" si="420"/>
        <v>0.79955849889624719</v>
      </c>
    </row>
    <row r="2011" spans="1:9" ht="18.75" customHeight="1">
      <c r="A2011" s="1614"/>
      <c r="B2011" s="1684"/>
      <c r="C2011" s="3312" t="s">
        <v>829</v>
      </c>
      <c r="D2011" s="3321" t="s">
        <v>781</v>
      </c>
      <c r="E2011" s="3294">
        <v>387</v>
      </c>
      <c r="F2011" s="3294">
        <v>180</v>
      </c>
      <c r="G2011" s="3314">
        <f>168</f>
        <v>168</v>
      </c>
      <c r="H2011" s="3270">
        <v>135.19999999999999</v>
      </c>
      <c r="I2011" s="1769">
        <f t="shared" si="420"/>
        <v>0.80476190476190468</v>
      </c>
    </row>
    <row r="2012" spans="1:9" ht="16.5" customHeight="1">
      <c r="A2012" s="1614"/>
      <c r="B2012" s="1684"/>
      <c r="C2012" s="3320" t="s">
        <v>1130</v>
      </c>
      <c r="D2012" s="3322" t="s">
        <v>783</v>
      </c>
      <c r="E2012" s="3294">
        <v>1037</v>
      </c>
      <c r="F2012" s="3294">
        <v>1307</v>
      </c>
      <c r="G2012" s="3314">
        <f>1307</f>
        <v>1307</v>
      </c>
      <c r="H2012" s="3270">
        <v>1306.56</v>
      </c>
      <c r="I2012" s="1769">
        <f t="shared" si="420"/>
        <v>0.99966335118592187</v>
      </c>
    </row>
    <row r="2013" spans="1:9" ht="16.5" customHeight="1">
      <c r="A2013" s="1614"/>
      <c r="B2013" s="1684"/>
      <c r="C2013" s="3289" t="s">
        <v>1131</v>
      </c>
      <c r="D2013" s="3322" t="s">
        <v>783</v>
      </c>
      <c r="E2013" s="3294">
        <v>194</v>
      </c>
      <c r="F2013" s="3294">
        <v>244</v>
      </c>
      <c r="G2013" s="3314">
        <f>244</f>
        <v>244</v>
      </c>
      <c r="H2013" s="3270">
        <v>243.7</v>
      </c>
      <c r="I2013" s="1769">
        <f t="shared" si="420"/>
        <v>0.99877049180327859</v>
      </c>
    </row>
    <row r="2014" spans="1:9" ht="16.5" customHeight="1">
      <c r="A2014" s="1614"/>
      <c r="B2014" s="1684"/>
      <c r="C2014" s="1695" t="s">
        <v>868</v>
      </c>
      <c r="D2014" s="3322" t="s">
        <v>768</v>
      </c>
      <c r="E2014" s="3294"/>
      <c r="F2014" s="3294">
        <v>0</v>
      </c>
      <c r="G2014" s="3314">
        <f>70</f>
        <v>70</v>
      </c>
      <c r="H2014" s="3270">
        <v>56.89</v>
      </c>
      <c r="I2014" s="1769">
        <f t="shared" si="420"/>
        <v>0.81271428571428572</v>
      </c>
    </row>
    <row r="2015" spans="1:9" ht="16.5" customHeight="1">
      <c r="A2015" s="1614"/>
      <c r="B2015" s="1684"/>
      <c r="C2015" s="3289" t="s">
        <v>837</v>
      </c>
      <c r="D2015" s="3322" t="s">
        <v>768</v>
      </c>
      <c r="E2015" s="3294"/>
      <c r="F2015" s="3294">
        <v>0</v>
      </c>
      <c r="G2015" s="3314">
        <f>13</f>
        <v>13</v>
      </c>
      <c r="H2015" s="3270">
        <v>10.61</v>
      </c>
      <c r="I2015" s="1769">
        <f t="shared" si="420"/>
        <v>0.81615384615384612</v>
      </c>
    </row>
    <row r="2016" spans="1:9" ht="13.5" customHeight="1">
      <c r="A2016" s="1614"/>
      <c r="B2016" s="1684"/>
      <c r="C2016" s="4721"/>
      <c r="D2016" s="4722"/>
      <c r="E2016" s="1668"/>
      <c r="F2016" s="3294"/>
      <c r="G2016" s="3307"/>
      <c r="H2016" s="3270"/>
      <c r="I2016" s="1769"/>
    </row>
    <row r="2017" spans="1:9" ht="16.5" customHeight="1">
      <c r="A2017" s="1614"/>
      <c r="B2017" s="1684"/>
      <c r="C2017" s="4723" t="s">
        <v>793</v>
      </c>
      <c r="D2017" s="4723"/>
      <c r="E2017" s="3323">
        <f>E2018</f>
        <v>309461</v>
      </c>
      <c r="F2017" s="3323">
        <f t="shared" ref="F2017:H2017" si="428">F2018</f>
        <v>0</v>
      </c>
      <c r="G2017" s="3324">
        <f t="shared" si="428"/>
        <v>6173</v>
      </c>
      <c r="H2017" s="3325">
        <f t="shared" si="428"/>
        <v>6171.68</v>
      </c>
      <c r="I2017" s="1780">
        <f t="shared" si="420"/>
        <v>0.99978616555969546</v>
      </c>
    </row>
    <row r="2018" spans="1:9" ht="16.5" customHeight="1">
      <c r="A2018" s="1614"/>
      <c r="B2018" s="1684"/>
      <c r="C2018" s="4695" t="s">
        <v>794</v>
      </c>
      <c r="D2018" s="4695"/>
      <c r="E2018" s="3326">
        <f>SUM(E2019:E2020)</f>
        <v>309461</v>
      </c>
      <c r="F2018" s="3326">
        <f t="shared" ref="F2018:H2018" si="429">SUM(F2019:F2020)</f>
        <v>0</v>
      </c>
      <c r="G2018" s="3327">
        <f t="shared" si="429"/>
        <v>6173</v>
      </c>
      <c r="H2018" s="3328">
        <f t="shared" si="429"/>
        <v>6171.68</v>
      </c>
      <c r="I2018" s="1769">
        <f t="shared" si="420"/>
        <v>0.99978616555969546</v>
      </c>
    </row>
    <row r="2019" spans="1:9" ht="65.25" customHeight="1">
      <c r="A2019" s="1614"/>
      <c r="B2019" s="1684"/>
      <c r="C2019" s="3329" t="s">
        <v>873</v>
      </c>
      <c r="D2019" s="3330" t="s">
        <v>874</v>
      </c>
      <c r="E2019" s="3294">
        <v>308362</v>
      </c>
      <c r="F2019" s="3294">
        <v>0</v>
      </c>
      <c r="G2019" s="3331">
        <v>3758</v>
      </c>
      <c r="H2019" s="3270">
        <v>3757.92</v>
      </c>
      <c r="I2019" s="1769">
        <f t="shared" si="420"/>
        <v>0.99997871208089406</v>
      </c>
    </row>
    <row r="2020" spans="1:9" ht="29.25" customHeight="1" thickBot="1">
      <c r="A2020" s="1644"/>
      <c r="B2020" s="1849"/>
      <c r="C2020" s="3332" t="s">
        <v>636</v>
      </c>
      <c r="D2020" s="3333" t="s">
        <v>967</v>
      </c>
      <c r="E2020" s="1678">
        <v>1099</v>
      </c>
      <c r="F2020" s="1678">
        <v>0</v>
      </c>
      <c r="G2020" s="3029">
        <v>2415</v>
      </c>
      <c r="H2020" s="1747">
        <v>2413.7600000000002</v>
      </c>
      <c r="I2020" s="1651">
        <f t="shared" si="420"/>
        <v>0.99948654244306423</v>
      </c>
    </row>
    <row r="2021" spans="1:9" ht="17.100000000000001" customHeight="1" thickBot="1">
      <c r="A2021" s="3099" t="s">
        <v>161</v>
      </c>
      <c r="B2021" s="3334"/>
      <c r="C2021" s="3335"/>
      <c r="D2021" s="3336" t="s">
        <v>1142</v>
      </c>
      <c r="E2021" s="3337">
        <f>SUM(E2022,E2043,E2094)</f>
        <v>4888339</v>
      </c>
      <c r="F2021" s="3337">
        <f>SUM(F2022,F2043,F2069,F2094)</f>
        <v>3652116</v>
      </c>
      <c r="G2021" s="3337">
        <f>SUM(G2022,G2043,G2069,G2094)</f>
        <v>3979904</v>
      </c>
      <c r="H2021" s="3338">
        <f t="shared" ref="H2021" si="430">SUM(H2022,H2043,H2069,H2094)</f>
        <v>3944868.6100000003</v>
      </c>
      <c r="I2021" s="3106">
        <f t="shared" si="420"/>
        <v>0.99119692585549812</v>
      </c>
    </row>
    <row r="2022" spans="1:9" ht="17.100000000000001" customHeight="1" thickBot="1">
      <c r="A2022" s="1614"/>
      <c r="B2022" s="3010" t="s">
        <v>1143</v>
      </c>
      <c r="C2022" s="3011"/>
      <c r="D2022" s="3012" t="s">
        <v>700</v>
      </c>
      <c r="E2022" s="3013">
        <f t="shared" ref="E2022:H2022" si="431">E2023</f>
        <v>821339</v>
      </c>
      <c r="F2022" s="3013">
        <f t="shared" si="431"/>
        <v>882098</v>
      </c>
      <c r="G2022" s="3014">
        <f t="shared" si="431"/>
        <v>935526</v>
      </c>
      <c r="H2022" s="3015">
        <f t="shared" si="431"/>
        <v>932521.89</v>
      </c>
      <c r="I2022" s="3339">
        <f t="shared" si="420"/>
        <v>0.99678885461227162</v>
      </c>
    </row>
    <row r="2023" spans="1:9" ht="17.100000000000001" customHeight="1">
      <c r="A2023" s="1638"/>
      <c r="B2023" s="3250"/>
      <c r="C2023" s="4724" t="s">
        <v>760</v>
      </c>
      <c r="D2023" s="4725"/>
      <c r="E2023" s="3155">
        <f t="shared" ref="E2023:G2023" si="432">E2024+E2041</f>
        <v>821339</v>
      </c>
      <c r="F2023" s="3155">
        <f t="shared" si="432"/>
        <v>882098</v>
      </c>
      <c r="G2023" s="3340">
        <f t="shared" si="432"/>
        <v>935526</v>
      </c>
      <c r="H2023" s="3341">
        <f>H2024+H2041</f>
        <v>932521.89</v>
      </c>
      <c r="I2023" s="3342">
        <f t="shared" si="420"/>
        <v>0.99678885461227162</v>
      </c>
    </row>
    <row r="2024" spans="1:9" ht="17.100000000000001" customHeight="1">
      <c r="A2024" s="1638"/>
      <c r="B2024" s="1638"/>
      <c r="C2024" s="4726" t="s">
        <v>761</v>
      </c>
      <c r="D2024" s="4726"/>
      <c r="E2024" s="3137">
        <f t="shared" ref="E2024:G2024" si="433">E2025+E2032</f>
        <v>817896</v>
      </c>
      <c r="F2024" s="3137">
        <f t="shared" si="433"/>
        <v>878655</v>
      </c>
      <c r="G2024" s="3137">
        <f t="shared" si="433"/>
        <v>907807</v>
      </c>
      <c r="H2024" s="3138">
        <f>H2025+H2032</f>
        <v>904928.61</v>
      </c>
      <c r="I2024" s="1769">
        <f t="shared" ref="I2024:I2095" si="434">H2024/G2024</f>
        <v>0.9968292930105187</v>
      </c>
    </row>
    <row r="2025" spans="1:9" ht="17.100000000000001" customHeight="1">
      <c r="A2025" s="1614"/>
      <c r="B2025" s="1627"/>
      <c r="C2025" s="4618" t="s">
        <v>762</v>
      </c>
      <c r="D2025" s="4618"/>
      <c r="E2025" s="3294">
        <f t="shared" ref="E2025" si="435">SUM(E2026:E2029)</f>
        <v>694114</v>
      </c>
      <c r="F2025" s="3294">
        <f>SUM(F2026:F2030)</f>
        <v>771441</v>
      </c>
      <c r="G2025" s="3294">
        <f t="shared" ref="G2025" si="436">SUM(G2026:G2030)</f>
        <v>800593</v>
      </c>
      <c r="H2025" s="3270">
        <f>SUM(H2026:H2030)</f>
        <v>798759.77</v>
      </c>
      <c r="I2025" s="1783">
        <f t="shared" si="434"/>
        <v>0.99771015984401568</v>
      </c>
    </row>
    <row r="2026" spans="1:9" ht="17.100000000000001" customHeight="1">
      <c r="A2026" s="1614"/>
      <c r="B2026" s="1627"/>
      <c r="C2026" s="3329" t="s">
        <v>61</v>
      </c>
      <c r="D2026" s="3330" t="s">
        <v>763</v>
      </c>
      <c r="E2026" s="3294">
        <v>534803</v>
      </c>
      <c r="F2026" s="3294">
        <v>597480</v>
      </c>
      <c r="G2026" s="3314">
        <v>636667</v>
      </c>
      <c r="H2026" s="3270">
        <v>636394.23999999999</v>
      </c>
      <c r="I2026" s="1769">
        <f t="shared" si="434"/>
        <v>0.99957158137613544</v>
      </c>
    </row>
    <row r="2027" spans="1:9" ht="17.100000000000001" customHeight="1">
      <c r="A2027" s="1614"/>
      <c r="B2027" s="1627"/>
      <c r="C2027" s="3329" t="s">
        <v>315</v>
      </c>
      <c r="D2027" s="3330" t="s">
        <v>764</v>
      </c>
      <c r="E2027" s="3294">
        <v>45366</v>
      </c>
      <c r="F2027" s="3294">
        <v>51423</v>
      </c>
      <c r="G2027" s="3314">
        <v>43900</v>
      </c>
      <c r="H2027" s="3270">
        <v>43899.35</v>
      </c>
      <c r="I2027" s="1769">
        <f t="shared" si="434"/>
        <v>0.99998519362186788</v>
      </c>
    </row>
    <row r="2028" spans="1:9" ht="17.100000000000001" customHeight="1">
      <c r="A2028" s="1614"/>
      <c r="B2028" s="1627"/>
      <c r="C2028" s="3329" t="s">
        <v>62</v>
      </c>
      <c r="D2028" s="3330" t="s">
        <v>765</v>
      </c>
      <c r="E2028" s="3294">
        <v>99732</v>
      </c>
      <c r="F2028" s="3294">
        <v>107231</v>
      </c>
      <c r="G2028" s="3314">
        <v>111236</v>
      </c>
      <c r="H2028" s="3270">
        <v>110696.97</v>
      </c>
      <c r="I2028" s="1769">
        <f t="shared" si="434"/>
        <v>0.9951541767053832</v>
      </c>
    </row>
    <row r="2029" spans="1:9" ht="30" customHeight="1">
      <c r="A2029" s="1614"/>
      <c r="B2029" s="1627"/>
      <c r="C2029" s="3329" t="s">
        <v>63</v>
      </c>
      <c r="D2029" s="3330" t="s">
        <v>766</v>
      </c>
      <c r="E2029" s="3294">
        <v>14213</v>
      </c>
      <c r="F2029" s="3294">
        <v>15307</v>
      </c>
      <c r="G2029" s="3314">
        <v>7300</v>
      </c>
      <c r="H2029" s="3270">
        <v>6937.41</v>
      </c>
      <c r="I2029" s="1769">
        <f t="shared" si="434"/>
        <v>0.95033013698630131</v>
      </c>
    </row>
    <row r="2030" spans="1:9" ht="23.25" customHeight="1">
      <c r="A2030" s="1614"/>
      <c r="B2030" s="1627"/>
      <c r="C2030" s="2012" t="s">
        <v>335</v>
      </c>
      <c r="D2030" s="3343" t="s">
        <v>768</v>
      </c>
      <c r="E2030" s="1661"/>
      <c r="F2030" s="1661">
        <v>0</v>
      </c>
      <c r="G2030" s="3314">
        <v>1490</v>
      </c>
      <c r="H2030" s="3270">
        <v>831.8</v>
      </c>
      <c r="I2030" s="1769">
        <f t="shared" si="434"/>
        <v>0.55825503355704698</v>
      </c>
    </row>
    <row r="2031" spans="1:9" ht="17.100000000000001" customHeight="1">
      <c r="A2031" s="1614"/>
      <c r="B2031" s="1627"/>
      <c r="C2031" s="1688"/>
      <c r="D2031" s="1688"/>
      <c r="E2031" s="1638"/>
      <c r="F2031" s="1638"/>
      <c r="G2031" s="3314"/>
      <c r="H2031" s="3270"/>
      <c r="I2031" s="1769"/>
    </row>
    <row r="2032" spans="1:9" ht="17.100000000000001" customHeight="1">
      <c r="A2032" s="1614"/>
      <c r="B2032" s="1627"/>
      <c r="C2032" s="4689" t="s">
        <v>769</v>
      </c>
      <c r="D2032" s="4689"/>
      <c r="E2032" s="3294">
        <f t="shared" ref="E2032:G2032" si="437">SUM(E2033:E2039)</f>
        <v>123782</v>
      </c>
      <c r="F2032" s="3294">
        <f t="shared" si="437"/>
        <v>107214</v>
      </c>
      <c r="G2032" s="3279">
        <f t="shared" si="437"/>
        <v>107214</v>
      </c>
      <c r="H2032" s="3270">
        <f>SUM(H2033:H2039)</f>
        <v>106168.84</v>
      </c>
      <c r="I2032" s="1783">
        <f t="shared" si="434"/>
        <v>0.99025164624022977</v>
      </c>
    </row>
    <row r="2033" spans="1:9" ht="17.100000000000001" customHeight="1">
      <c r="A2033" s="1614"/>
      <c r="B2033" s="1627"/>
      <c r="C2033" s="3329" t="s">
        <v>22</v>
      </c>
      <c r="D2033" s="3330" t="s">
        <v>771</v>
      </c>
      <c r="E2033" s="3294">
        <v>51580</v>
      </c>
      <c r="F2033" s="3294">
        <v>31580</v>
      </c>
      <c r="G2033" s="3314">
        <v>31580</v>
      </c>
      <c r="H2033" s="3270">
        <v>31580</v>
      </c>
      <c r="I2033" s="1769">
        <f t="shared" si="434"/>
        <v>1</v>
      </c>
    </row>
    <row r="2034" spans="1:9" ht="17.100000000000001" customHeight="1">
      <c r="A2034" s="1614"/>
      <c r="B2034" s="1627"/>
      <c r="C2034" s="3344" t="s">
        <v>316</v>
      </c>
      <c r="D2034" s="3345" t="s">
        <v>773</v>
      </c>
      <c r="E2034" s="3294">
        <v>40711</v>
      </c>
      <c r="F2034" s="3294">
        <v>40711</v>
      </c>
      <c r="G2034" s="3314">
        <v>41710</v>
      </c>
      <c r="H2034" s="3270">
        <v>41710</v>
      </c>
      <c r="I2034" s="1769">
        <f t="shared" si="434"/>
        <v>1</v>
      </c>
    </row>
    <row r="2035" spans="1:9" ht="17.100000000000001" customHeight="1">
      <c r="A2035" s="1614"/>
      <c r="B2035" s="1627"/>
      <c r="C2035" s="1659" t="s">
        <v>317</v>
      </c>
      <c r="D2035" s="1660" t="s">
        <v>775</v>
      </c>
      <c r="E2035" s="1661">
        <v>1576</v>
      </c>
      <c r="F2035" s="1661">
        <v>1576</v>
      </c>
      <c r="G2035" s="1881">
        <v>1576</v>
      </c>
      <c r="H2035" s="1663">
        <v>690</v>
      </c>
      <c r="I2035" s="1769">
        <f t="shared" si="434"/>
        <v>0.43781725888324874</v>
      </c>
    </row>
    <row r="2036" spans="1:9" ht="17.100000000000001" customHeight="1">
      <c r="A2036" s="1614"/>
      <c r="B2036" s="1627"/>
      <c r="C2036" s="3329" t="s">
        <v>23</v>
      </c>
      <c r="D2036" s="3330" t="s">
        <v>776</v>
      </c>
      <c r="E2036" s="3294">
        <v>3393</v>
      </c>
      <c r="F2036" s="3294">
        <v>6625</v>
      </c>
      <c r="G2036" s="3314">
        <v>6625</v>
      </c>
      <c r="H2036" s="3270">
        <v>6471.15</v>
      </c>
      <c r="I2036" s="1769">
        <f t="shared" si="434"/>
        <v>0.97677735849056602</v>
      </c>
    </row>
    <row r="2037" spans="1:9" ht="16.5" customHeight="1">
      <c r="A2037" s="1614"/>
      <c r="B2037" s="4716"/>
      <c r="C2037" s="3329" t="s">
        <v>318</v>
      </c>
      <c r="D2037" s="3330" t="s">
        <v>946</v>
      </c>
      <c r="E2037" s="3294">
        <v>620</v>
      </c>
      <c r="F2037" s="3294">
        <v>620</v>
      </c>
      <c r="G2037" s="3314">
        <v>620</v>
      </c>
      <c r="H2037" s="3270">
        <v>615.66</v>
      </c>
      <c r="I2037" s="1769">
        <f t="shared" si="434"/>
        <v>0.99299999999999999</v>
      </c>
    </row>
    <row r="2038" spans="1:9" ht="17.100000000000001" customHeight="1">
      <c r="A2038" s="1614"/>
      <c r="B2038" s="4716"/>
      <c r="C2038" s="3346" t="s">
        <v>319</v>
      </c>
      <c r="D2038" s="3347" t="s">
        <v>783</v>
      </c>
      <c r="E2038" s="3294">
        <v>24308</v>
      </c>
      <c r="F2038" s="3294">
        <v>26102</v>
      </c>
      <c r="G2038" s="3307">
        <v>25103</v>
      </c>
      <c r="H2038" s="3270">
        <v>25102.03</v>
      </c>
      <c r="I2038" s="1769">
        <f t="shared" si="434"/>
        <v>0.99996135920009555</v>
      </c>
    </row>
    <row r="2039" spans="1:9" ht="17.100000000000001" hidden="1" customHeight="1">
      <c r="A2039" s="1614"/>
      <c r="B2039" s="4716"/>
      <c r="C2039" s="3299" t="s">
        <v>334</v>
      </c>
      <c r="D2039" s="3300" t="s">
        <v>1144</v>
      </c>
      <c r="E2039" s="3294">
        <v>1594</v>
      </c>
      <c r="F2039" s="3294">
        <v>0</v>
      </c>
      <c r="G2039" s="3291">
        <v>0</v>
      </c>
      <c r="H2039" s="3270">
        <v>0</v>
      </c>
      <c r="I2039" s="1769" t="e">
        <f t="shared" si="434"/>
        <v>#DIV/0!</v>
      </c>
    </row>
    <row r="2040" spans="1:9" ht="17.100000000000001" customHeight="1">
      <c r="A2040" s="1614"/>
      <c r="B2040" s="4716"/>
      <c r="C2040" s="3348"/>
      <c r="D2040" s="3349"/>
      <c r="E2040" s="3350"/>
      <c r="F2040" s="3350"/>
      <c r="G2040" s="3291"/>
      <c r="H2040" s="3270"/>
      <c r="I2040" s="1769"/>
    </row>
    <row r="2041" spans="1:9" ht="17.100000000000001" customHeight="1">
      <c r="A2041" s="1614"/>
      <c r="B2041" s="4716"/>
      <c r="C2041" s="4644" t="s">
        <v>791</v>
      </c>
      <c r="D2041" s="4644"/>
      <c r="E2041" s="1661">
        <f t="shared" ref="E2041:G2041" si="438">E2042</f>
        <v>3443</v>
      </c>
      <c r="F2041" s="1661">
        <f t="shared" si="438"/>
        <v>3443</v>
      </c>
      <c r="G2041" s="1760">
        <f t="shared" si="438"/>
        <v>27719</v>
      </c>
      <c r="H2041" s="1663">
        <f>H2042</f>
        <v>27593.279999999999</v>
      </c>
      <c r="I2041" s="1769">
        <f t="shared" si="434"/>
        <v>0.99546448284570144</v>
      </c>
    </row>
    <row r="2042" spans="1:9" ht="17.100000000000001" customHeight="1" thickBot="1">
      <c r="A2042" s="1614"/>
      <c r="B2042" s="4716"/>
      <c r="C2042" s="3346" t="s">
        <v>314</v>
      </c>
      <c r="D2042" s="3347" t="s">
        <v>792</v>
      </c>
      <c r="E2042" s="3326">
        <v>3443</v>
      </c>
      <c r="F2042" s="3326">
        <v>3443</v>
      </c>
      <c r="G2042" s="3291">
        <v>27719</v>
      </c>
      <c r="H2042" s="3270">
        <v>27593.279999999999</v>
      </c>
      <c r="I2042" s="1725">
        <f t="shared" si="434"/>
        <v>0.99546448284570144</v>
      </c>
    </row>
    <row r="2043" spans="1:9" ht="17.100000000000001" customHeight="1" thickBot="1">
      <c r="A2043" s="1614"/>
      <c r="B2043" s="3010" t="s">
        <v>1145</v>
      </c>
      <c r="C2043" s="3011"/>
      <c r="D2043" s="3012" t="s">
        <v>1146</v>
      </c>
      <c r="E2043" s="3013">
        <f t="shared" ref="E2043:H2044" si="439">E2044</f>
        <v>3717000</v>
      </c>
      <c r="F2043" s="3013">
        <f t="shared" si="439"/>
        <v>2478000</v>
      </c>
      <c r="G2043" s="3014">
        <f t="shared" si="439"/>
        <v>2252600</v>
      </c>
      <c r="H2043" s="3015">
        <f t="shared" si="439"/>
        <v>2252600</v>
      </c>
      <c r="I2043" s="3016">
        <f t="shared" si="434"/>
        <v>1</v>
      </c>
    </row>
    <row r="2044" spans="1:9" ht="17.100000000000001" customHeight="1">
      <c r="A2044" s="1614"/>
      <c r="B2044" s="4687"/>
      <c r="C2044" s="4633" t="s">
        <v>760</v>
      </c>
      <c r="D2044" s="4633"/>
      <c r="E2044" s="1615">
        <f t="shared" si="439"/>
        <v>3717000</v>
      </c>
      <c r="F2044" s="1615">
        <f t="shared" si="439"/>
        <v>2478000</v>
      </c>
      <c r="G2044" s="1616">
        <f t="shared" si="439"/>
        <v>2252600</v>
      </c>
      <c r="H2044" s="1617">
        <f t="shared" si="439"/>
        <v>2252600</v>
      </c>
      <c r="I2044" s="1780">
        <f t="shared" si="434"/>
        <v>1</v>
      </c>
    </row>
    <row r="2045" spans="1:9" ht="28.5" customHeight="1">
      <c r="A2045" s="1614"/>
      <c r="B2045" s="4687"/>
      <c r="C2045" s="4719" t="s">
        <v>803</v>
      </c>
      <c r="D2045" s="4719"/>
      <c r="E2045" s="3294">
        <f>SUM(E2046:E2068)</f>
        <v>3717000</v>
      </c>
      <c r="F2045" s="3294">
        <f t="shared" ref="F2045" si="440">SUM(F2046:F2068)</f>
        <v>2478000</v>
      </c>
      <c r="G2045" s="3279">
        <f>SUM(G2046:G2068)</f>
        <v>2252600</v>
      </c>
      <c r="H2045" s="3270">
        <f>SUM(H2046:H2068)</f>
        <v>2252600</v>
      </c>
      <c r="I2045" s="1769">
        <f t="shared" si="434"/>
        <v>1</v>
      </c>
    </row>
    <row r="2046" spans="1:9" ht="19.5" customHeight="1">
      <c r="A2046" s="1614"/>
      <c r="B2046" s="4687"/>
      <c r="C2046" s="3329" t="s">
        <v>1068</v>
      </c>
      <c r="D2046" s="3330" t="s">
        <v>1067</v>
      </c>
      <c r="E2046" s="3294">
        <v>2669000</v>
      </c>
      <c r="F2046" s="3294">
        <v>1802000</v>
      </c>
      <c r="G2046" s="3314">
        <f>955400+680000</f>
        <v>1635400</v>
      </c>
      <c r="H2046" s="3270">
        <v>1635400</v>
      </c>
      <c r="I2046" s="1769">
        <f t="shared" si="434"/>
        <v>1</v>
      </c>
    </row>
    <row r="2047" spans="1:9" ht="17.100000000000001" customHeight="1" thickBot="1">
      <c r="A2047" s="1638"/>
      <c r="B2047" s="1638"/>
      <c r="C2047" s="3332" t="s">
        <v>1069</v>
      </c>
      <c r="D2047" s="3333" t="s">
        <v>1067</v>
      </c>
      <c r="E2047" s="1678">
        <v>471000</v>
      </c>
      <c r="F2047" s="1678">
        <v>318000</v>
      </c>
      <c r="G2047" s="3029">
        <f>168600+120000</f>
        <v>288600</v>
      </c>
      <c r="H2047" s="1747">
        <v>288600</v>
      </c>
      <c r="I2047" s="1651">
        <f t="shared" si="434"/>
        <v>1</v>
      </c>
    </row>
    <row r="2048" spans="1:9" ht="17.100000000000001" hidden="1" customHeight="1">
      <c r="A2048" s="1638"/>
      <c r="B2048" s="1638"/>
      <c r="C2048" s="1695" t="s">
        <v>859</v>
      </c>
      <c r="D2048" s="1696" t="s">
        <v>763</v>
      </c>
      <c r="E2048" s="1668"/>
      <c r="F2048" s="1668"/>
      <c r="G2048" s="2233"/>
      <c r="H2048" s="1818"/>
      <c r="I2048" s="1725" t="e">
        <f t="shared" si="434"/>
        <v>#DIV/0!</v>
      </c>
    </row>
    <row r="2049" spans="1:9" ht="17.100000000000001" customHeight="1" thickBot="1">
      <c r="A2049" s="2271"/>
      <c r="B2049" s="2271"/>
      <c r="C2049" s="3351" t="s">
        <v>859</v>
      </c>
      <c r="D2049" s="3352" t="s">
        <v>763</v>
      </c>
      <c r="E2049" s="3353">
        <v>368360</v>
      </c>
      <c r="F2049" s="3353">
        <v>220080</v>
      </c>
      <c r="G2049" s="3354">
        <f>107806+98360</f>
        <v>206166</v>
      </c>
      <c r="H2049" s="3355">
        <v>206166</v>
      </c>
      <c r="I2049" s="3356">
        <f t="shared" si="434"/>
        <v>1</v>
      </c>
    </row>
    <row r="2050" spans="1:9" ht="17.100000000000001" customHeight="1">
      <c r="A2050" s="1614"/>
      <c r="B2050" s="1627"/>
      <c r="C2050" s="1659" t="s">
        <v>808</v>
      </c>
      <c r="D2050" s="1660" t="s">
        <v>763</v>
      </c>
      <c r="E2050" s="1661">
        <v>65005</v>
      </c>
      <c r="F2050" s="1661">
        <v>38839</v>
      </c>
      <c r="G2050" s="1881">
        <f>19025+17358</f>
        <v>36383</v>
      </c>
      <c r="H2050" s="1663">
        <v>36383</v>
      </c>
      <c r="I2050" s="1769">
        <f t="shared" si="434"/>
        <v>1</v>
      </c>
    </row>
    <row r="2051" spans="1:9" ht="17.100000000000001" hidden="1" customHeight="1">
      <c r="A2051" s="1614"/>
      <c r="B2051" s="1627"/>
      <c r="C2051" s="3329" t="s">
        <v>861</v>
      </c>
      <c r="D2051" s="3330" t="s">
        <v>765</v>
      </c>
      <c r="E2051" s="3294"/>
      <c r="F2051" s="3294"/>
      <c r="G2051" s="3314"/>
      <c r="H2051" s="3270"/>
      <c r="I2051" s="1769" t="e">
        <f t="shared" si="434"/>
        <v>#DIV/0!</v>
      </c>
    </row>
    <row r="2052" spans="1:9" ht="17.100000000000001" customHeight="1">
      <c r="A2052" s="1614"/>
      <c r="B2052" s="1627"/>
      <c r="C2052" s="3329" t="s">
        <v>861</v>
      </c>
      <c r="D2052" s="3330" t="s">
        <v>765</v>
      </c>
      <c r="E2052" s="3294">
        <v>64016</v>
      </c>
      <c r="F2052" s="3294">
        <v>47079</v>
      </c>
      <c r="G2052" s="3314">
        <f>18532+21041</f>
        <v>39573</v>
      </c>
      <c r="H2052" s="3270">
        <v>39573</v>
      </c>
      <c r="I2052" s="1769">
        <f t="shared" si="434"/>
        <v>1</v>
      </c>
    </row>
    <row r="2053" spans="1:9" ht="17.100000000000001" customHeight="1">
      <c r="A2053" s="4716"/>
      <c r="B2053" s="1638"/>
      <c r="C2053" s="3344" t="s">
        <v>812</v>
      </c>
      <c r="D2053" s="3345" t="s">
        <v>765</v>
      </c>
      <c r="E2053" s="3294">
        <v>11297</v>
      </c>
      <c r="F2053" s="3294">
        <v>8308</v>
      </c>
      <c r="G2053" s="3314">
        <f>3270+3713</f>
        <v>6983</v>
      </c>
      <c r="H2053" s="3270">
        <v>6983</v>
      </c>
      <c r="I2053" s="1769">
        <f t="shared" si="434"/>
        <v>1</v>
      </c>
    </row>
    <row r="2054" spans="1:9" ht="17.100000000000001" hidden="1" customHeight="1">
      <c r="A2054" s="4716"/>
      <c r="B2054" s="1638"/>
      <c r="C2054" s="1659" t="s">
        <v>862</v>
      </c>
      <c r="D2054" s="1660" t="s">
        <v>798</v>
      </c>
      <c r="E2054" s="1661"/>
      <c r="F2054" s="1661"/>
      <c r="G2054" s="1881"/>
      <c r="H2054" s="1663"/>
      <c r="I2054" s="1769" t="e">
        <f t="shared" si="434"/>
        <v>#DIV/0!</v>
      </c>
    </row>
    <row r="2055" spans="1:9" ht="27.75" customHeight="1">
      <c r="A2055" s="4716"/>
      <c r="B2055" s="1638"/>
      <c r="C2055" s="3329" t="s">
        <v>862</v>
      </c>
      <c r="D2055" s="3330" t="s">
        <v>766</v>
      </c>
      <c r="E2055" s="3294">
        <v>9028</v>
      </c>
      <c r="F2055" s="3294">
        <v>6711</v>
      </c>
      <c r="G2055" s="3314">
        <f>2641+2999</f>
        <v>5640</v>
      </c>
      <c r="H2055" s="3270">
        <v>5640</v>
      </c>
      <c r="I2055" s="1769">
        <f t="shared" si="434"/>
        <v>1</v>
      </c>
    </row>
    <row r="2056" spans="1:9" ht="29.25" customHeight="1">
      <c r="A2056" s="1614"/>
      <c r="B2056" s="1627"/>
      <c r="C2056" s="3329" t="s">
        <v>814</v>
      </c>
      <c r="D2056" s="3330" t="s">
        <v>766</v>
      </c>
      <c r="E2056" s="3294">
        <v>1594</v>
      </c>
      <c r="F2056" s="3294">
        <v>1183</v>
      </c>
      <c r="G2056" s="3314">
        <f>466+529</f>
        <v>995</v>
      </c>
      <c r="H2056" s="3270">
        <v>995</v>
      </c>
      <c r="I2056" s="1769">
        <f t="shared" si="434"/>
        <v>1</v>
      </c>
    </row>
    <row r="2057" spans="1:9" ht="17.100000000000001" hidden="1" customHeight="1">
      <c r="A2057" s="1614"/>
      <c r="B2057" s="1627"/>
      <c r="C2057" s="3329" t="s">
        <v>962</v>
      </c>
      <c r="D2057" s="3330" t="s">
        <v>767</v>
      </c>
      <c r="E2057" s="3294"/>
      <c r="F2057" s="3294"/>
      <c r="G2057" s="3314"/>
      <c r="H2057" s="3270"/>
      <c r="I2057" s="1769" t="e">
        <f t="shared" si="434"/>
        <v>#DIV/0!</v>
      </c>
    </row>
    <row r="2058" spans="1:9" ht="17.100000000000001" hidden="1" customHeight="1">
      <c r="A2058" s="1614"/>
      <c r="B2058" s="1627"/>
      <c r="C2058" s="3329" t="s">
        <v>816</v>
      </c>
      <c r="D2058" s="3330" t="s">
        <v>767</v>
      </c>
      <c r="E2058" s="3294"/>
      <c r="F2058" s="3294"/>
      <c r="G2058" s="3314"/>
      <c r="H2058" s="3270"/>
      <c r="I2058" s="1769" t="e">
        <f t="shared" si="434"/>
        <v>#DIV/0!</v>
      </c>
    </row>
    <row r="2059" spans="1:9" ht="15" hidden="1" customHeight="1">
      <c r="A2059" s="1614"/>
      <c r="B2059" s="1627"/>
      <c r="C2059" s="3329" t="s">
        <v>863</v>
      </c>
      <c r="D2059" s="3330" t="s">
        <v>771</v>
      </c>
      <c r="E2059" s="3294"/>
      <c r="F2059" s="3294"/>
      <c r="G2059" s="3314"/>
      <c r="H2059" s="3270"/>
      <c r="I2059" s="1769" t="e">
        <f t="shared" si="434"/>
        <v>#DIV/0!</v>
      </c>
    </row>
    <row r="2060" spans="1:9" ht="17.100000000000001" customHeight="1">
      <c r="A2060" s="1614"/>
      <c r="B2060" s="1627"/>
      <c r="C2060" s="3329" t="s">
        <v>863</v>
      </c>
      <c r="D2060" s="3330" t="s">
        <v>771</v>
      </c>
      <c r="E2060" s="3294">
        <v>29427</v>
      </c>
      <c r="F2060" s="3294">
        <v>18258</v>
      </c>
      <c r="G2060" s="3314">
        <f>8599+8160</f>
        <v>16759</v>
      </c>
      <c r="H2060" s="3270">
        <v>16759</v>
      </c>
      <c r="I2060" s="1769">
        <f t="shared" si="434"/>
        <v>1</v>
      </c>
    </row>
    <row r="2061" spans="1:9" ht="17.100000000000001" customHeight="1">
      <c r="A2061" s="1614"/>
      <c r="B2061" s="1627"/>
      <c r="C2061" s="3329" t="s">
        <v>821</v>
      </c>
      <c r="D2061" s="3330" t="s">
        <v>771</v>
      </c>
      <c r="E2061" s="3294">
        <v>5193</v>
      </c>
      <c r="F2061" s="3294">
        <v>3222</v>
      </c>
      <c r="G2061" s="3314">
        <f>1517+1440</f>
        <v>2957</v>
      </c>
      <c r="H2061" s="3270">
        <v>2957</v>
      </c>
      <c r="I2061" s="1769">
        <f t="shared" si="434"/>
        <v>1</v>
      </c>
    </row>
    <row r="2062" spans="1:9" ht="17.100000000000001" customHeight="1">
      <c r="A2062" s="1614"/>
      <c r="B2062" s="1627"/>
      <c r="C2062" s="3329" t="s">
        <v>1006</v>
      </c>
      <c r="D2062" s="3330" t="s">
        <v>773</v>
      </c>
      <c r="E2062" s="3294">
        <v>9809</v>
      </c>
      <c r="F2062" s="3294">
        <v>6086</v>
      </c>
      <c r="G2062" s="3314">
        <f>2866+2720</f>
        <v>5586</v>
      </c>
      <c r="H2062" s="3270">
        <v>5586</v>
      </c>
      <c r="I2062" s="1769">
        <f t="shared" si="434"/>
        <v>1</v>
      </c>
    </row>
    <row r="2063" spans="1:9" ht="17.100000000000001" customHeight="1">
      <c r="A2063" s="1614"/>
      <c r="B2063" s="1627"/>
      <c r="C2063" s="3329" t="s">
        <v>980</v>
      </c>
      <c r="D2063" s="3330" t="s">
        <v>773</v>
      </c>
      <c r="E2063" s="3294">
        <v>1731</v>
      </c>
      <c r="F2063" s="3294">
        <v>1074</v>
      </c>
      <c r="G2063" s="3314">
        <f>506+480</f>
        <v>986</v>
      </c>
      <c r="H2063" s="3270">
        <v>986</v>
      </c>
      <c r="I2063" s="1769">
        <f t="shared" si="434"/>
        <v>1</v>
      </c>
    </row>
    <row r="2064" spans="1:9" ht="17.100000000000001" customHeight="1">
      <c r="A2064" s="1614"/>
      <c r="B2064" s="1627"/>
      <c r="C2064" s="3329" t="s">
        <v>864</v>
      </c>
      <c r="D2064" s="3330" t="s">
        <v>776</v>
      </c>
      <c r="E2064" s="3294">
        <v>4905</v>
      </c>
      <c r="F2064" s="3294">
        <v>3043</v>
      </c>
      <c r="G2064" s="3314">
        <f>1433+1360</f>
        <v>2793</v>
      </c>
      <c r="H2064" s="3270">
        <v>2793</v>
      </c>
      <c r="I2064" s="1769">
        <f t="shared" si="434"/>
        <v>1</v>
      </c>
    </row>
    <row r="2065" spans="1:9" ht="17.100000000000001" customHeight="1">
      <c r="A2065" s="1614"/>
      <c r="B2065" s="1627"/>
      <c r="C2065" s="3329" t="s">
        <v>825</v>
      </c>
      <c r="D2065" s="3330" t="s">
        <v>776</v>
      </c>
      <c r="E2065" s="3294">
        <v>865</v>
      </c>
      <c r="F2065" s="3294">
        <v>537</v>
      </c>
      <c r="G2065" s="3314">
        <f>253+240</f>
        <v>493</v>
      </c>
      <c r="H2065" s="3270">
        <v>493</v>
      </c>
      <c r="I2065" s="1769">
        <f t="shared" si="434"/>
        <v>1</v>
      </c>
    </row>
    <row r="2066" spans="1:9" ht="17.100000000000001" customHeight="1">
      <c r="A2066" s="1614"/>
      <c r="B2066" s="1627"/>
      <c r="C2066" s="3329" t="s">
        <v>1007</v>
      </c>
      <c r="D2066" s="3330" t="s">
        <v>946</v>
      </c>
      <c r="E2066" s="3294">
        <v>4905</v>
      </c>
      <c r="F2066" s="3294">
        <v>3043</v>
      </c>
      <c r="G2066" s="3314">
        <f>1433+1360</f>
        <v>2793</v>
      </c>
      <c r="H2066" s="3270">
        <v>2793</v>
      </c>
      <c r="I2066" s="1769">
        <f t="shared" si="434"/>
        <v>1</v>
      </c>
    </row>
    <row r="2067" spans="1:9" ht="13.5" thickBot="1">
      <c r="A2067" s="1614"/>
      <c r="B2067" s="1627"/>
      <c r="C2067" s="3329" t="s">
        <v>1008</v>
      </c>
      <c r="D2067" s="3330" t="s">
        <v>946</v>
      </c>
      <c r="E2067" s="3294">
        <v>865</v>
      </c>
      <c r="F2067" s="3294">
        <v>537</v>
      </c>
      <c r="G2067" s="3314">
        <f>253+240</f>
        <v>493</v>
      </c>
      <c r="H2067" s="3270">
        <v>493</v>
      </c>
      <c r="I2067" s="1769">
        <f t="shared" si="434"/>
        <v>1</v>
      </c>
    </row>
    <row r="2068" spans="1:9" ht="13.5" hidden="1" thickBot="1">
      <c r="A2068" s="1627"/>
      <c r="B2068" s="1645"/>
      <c r="C2068" s="3332" t="s">
        <v>865</v>
      </c>
      <c r="D2068" s="3333" t="s">
        <v>778</v>
      </c>
      <c r="E2068" s="1678"/>
      <c r="F2068" s="1678"/>
      <c r="G2068" s="3029"/>
      <c r="H2068" s="1747"/>
      <c r="I2068" s="1651"/>
    </row>
    <row r="2069" spans="1:9" ht="16.5" customHeight="1" thickBot="1">
      <c r="A2069" s="1614"/>
      <c r="B2069" s="3010" t="s">
        <v>1147</v>
      </c>
      <c r="C2069" s="3228"/>
      <c r="D2069" s="3012" t="s">
        <v>1148</v>
      </c>
      <c r="E2069" s="3013">
        <f t="shared" ref="E2069" si="441">E2070</f>
        <v>775353</v>
      </c>
      <c r="F2069" s="3013">
        <f>F2070+F2091</f>
        <v>92018</v>
      </c>
      <c r="G2069" s="3013">
        <f>G2070+G2091</f>
        <v>591778</v>
      </c>
      <c r="H2069" s="3015">
        <f>H2070+H2091</f>
        <v>559746.72</v>
      </c>
      <c r="I2069" s="3016">
        <f t="shared" si="434"/>
        <v>0.94587281041201254</v>
      </c>
    </row>
    <row r="2070" spans="1:9" ht="15" customHeight="1">
      <c r="A2070" s="1614"/>
      <c r="B2070" s="1627"/>
      <c r="C2070" s="4717" t="s">
        <v>760</v>
      </c>
      <c r="D2070" s="4718"/>
      <c r="E2070" s="1615">
        <f>E2071+E2088</f>
        <v>775353</v>
      </c>
      <c r="F2070" s="1615">
        <f>F2071+F2088</f>
        <v>92018</v>
      </c>
      <c r="G2070" s="1616">
        <f>G2071+G2088</f>
        <v>500262</v>
      </c>
      <c r="H2070" s="1617">
        <f>H2071+H2088</f>
        <v>468230.72</v>
      </c>
      <c r="I2070" s="1780">
        <f t="shared" si="434"/>
        <v>0.93597099120061078</v>
      </c>
    </row>
    <row r="2071" spans="1:9" ht="15" customHeight="1">
      <c r="A2071" s="1614"/>
      <c r="B2071" s="1627"/>
      <c r="C2071" s="4705" t="s">
        <v>761</v>
      </c>
      <c r="D2071" s="4705"/>
      <c r="E2071" s="3357">
        <f>E2072+E2078</f>
        <v>771910</v>
      </c>
      <c r="F2071" s="3357">
        <f>F2072+F2078</f>
        <v>89649</v>
      </c>
      <c r="G2071" s="3357">
        <f>G2072+G2078</f>
        <v>497893</v>
      </c>
      <c r="H2071" s="3358">
        <f>H2072+H2078</f>
        <v>465861.81</v>
      </c>
      <c r="I2071" s="1769">
        <f t="shared" si="434"/>
        <v>0.9356665187098433</v>
      </c>
    </row>
    <row r="2072" spans="1:9" ht="15" customHeight="1">
      <c r="A2072" s="1614"/>
      <c r="B2072" s="1627"/>
      <c r="C2072" s="4618" t="s">
        <v>762</v>
      </c>
      <c r="D2072" s="4618"/>
      <c r="E2072" s="3357">
        <f>SUM(E2073:E2075)</f>
        <v>648748</v>
      </c>
      <c r="F2072" s="3357">
        <f>SUM(F2073:F2076)</f>
        <v>40020</v>
      </c>
      <c r="G2072" s="3357">
        <f t="shared" ref="G2072:H2072" si="442">SUM(G2073:G2076)</f>
        <v>20912</v>
      </c>
      <c r="H2072" s="3358">
        <f t="shared" si="442"/>
        <v>20843.370000000003</v>
      </c>
      <c r="I2072" s="1783">
        <f t="shared" si="434"/>
        <v>0.99671815225707738</v>
      </c>
    </row>
    <row r="2073" spans="1:9" ht="15" customHeight="1">
      <c r="A2073" s="1614"/>
      <c r="B2073" s="1627"/>
      <c r="C2073" s="3359" t="s">
        <v>61</v>
      </c>
      <c r="D2073" s="3360" t="s">
        <v>763</v>
      </c>
      <c r="E2073" s="3357">
        <v>534803</v>
      </c>
      <c r="F2073" s="3357">
        <v>33441</v>
      </c>
      <c r="G2073" s="3314">
        <v>17400</v>
      </c>
      <c r="H2073" s="3358">
        <v>17394.59</v>
      </c>
      <c r="I2073" s="1769">
        <f t="shared" si="434"/>
        <v>0.99968908045977012</v>
      </c>
    </row>
    <row r="2074" spans="1:9" ht="15" customHeight="1">
      <c r="A2074" s="1614"/>
      <c r="B2074" s="1627"/>
      <c r="C2074" s="3359" t="s">
        <v>62</v>
      </c>
      <c r="D2074" s="3360" t="s">
        <v>765</v>
      </c>
      <c r="E2074" s="3357">
        <v>99732</v>
      </c>
      <c r="F2074" s="3357">
        <v>5759</v>
      </c>
      <c r="G2074" s="3314">
        <v>3300</v>
      </c>
      <c r="H2074" s="3358">
        <v>3237.29</v>
      </c>
      <c r="I2074" s="1769">
        <f t="shared" si="434"/>
        <v>0.9809969696969697</v>
      </c>
    </row>
    <row r="2075" spans="1:9" ht="30" customHeight="1">
      <c r="A2075" s="1614"/>
      <c r="B2075" s="1627"/>
      <c r="C2075" s="3359" t="s">
        <v>63</v>
      </c>
      <c r="D2075" s="3361" t="s">
        <v>766</v>
      </c>
      <c r="E2075" s="3357">
        <v>14213</v>
      </c>
      <c r="F2075" s="3357">
        <v>820</v>
      </c>
      <c r="G2075" s="3314">
        <v>212</v>
      </c>
      <c r="H2075" s="3358">
        <v>211.49</v>
      </c>
      <c r="I2075" s="1769">
        <f t="shared" si="434"/>
        <v>0.99759433962264155</v>
      </c>
    </row>
    <row r="2076" spans="1:9" ht="18.75" hidden="1" customHeight="1">
      <c r="A2076" s="1614"/>
      <c r="B2076" s="1627"/>
      <c r="C2076" s="2012" t="s">
        <v>324</v>
      </c>
      <c r="D2076" s="3362" t="s">
        <v>767</v>
      </c>
      <c r="E2076" s="1873"/>
      <c r="F2076" s="1661">
        <v>0</v>
      </c>
      <c r="G2076" s="3314">
        <v>0</v>
      </c>
      <c r="H2076" s="3358">
        <v>0</v>
      </c>
      <c r="I2076" s="1769"/>
    </row>
    <row r="2077" spans="1:9" ht="15" customHeight="1">
      <c r="A2077" s="1614"/>
      <c r="B2077" s="1627"/>
      <c r="C2077" s="1688"/>
      <c r="D2077" s="1688"/>
      <c r="E2077" s="1638"/>
      <c r="F2077" s="1638"/>
      <c r="G2077" s="1881"/>
      <c r="H2077" s="1663"/>
      <c r="I2077" s="1769"/>
    </row>
    <row r="2078" spans="1:9" ht="15" customHeight="1">
      <c r="A2078" s="1614"/>
      <c r="B2078" s="1627"/>
      <c r="C2078" s="4694" t="s">
        <v>769</v>
      </c>
      <c r="D2078" s="4694"/>
      <c r="E2078" s="3357">
        <f>SUM(E2079:E2086)</f>
        <v>123162</v>
      </c>
      <c r="F2078" s="3357">
        <f>SUM(F2079:F2086)</f>
        <v>49629</v>
      </c>
      <c r="G2078" s="3363">
        <f>SUM(G2079:G2086)</f>
        <v>476981</v>
      </c>
      <c r="H2078" s="3358">
        <f>SUM(H2079:H2086)</f>
        <v>445018.44</v>
      </c>
      <c r="I2078" s="1783">
        <f t="shared" si="434"/>
        <v>0.9329898675209285</v>
      </c>
    </row>
    <row r="2079" spans="1:9" ht="15" customHeight="1">
      <c r="A2079" s="1614"/>
      <c r="B2079" s="1627"/>
      <c r="C2079" s="3359" t="s">
        <v>22</v>
      </c>
      <c r="D2079" s="3360" t="s">
        <v>771</v>
      </c>
      <c r="E2079" s="3357">
        <v>51580</v>
      </c>
      <c r="F2079" s="3357">
        <v>10000</v>
      </c>
      <c r="G2079" s="3364">
        <v>14027</v>
      </c>
      <c r="H2079" s="3358">
        <v>13981.31</v>
      </c>
      <c r="I2079" s="1769">
        <f t="shared" si="434"/>
        <v>0.99674271048691809</v>
      </c>
    </row>
    <row r="2080" spans="1:9" ht="15" customHeight="1">
      <c r="A2080" s="1614"/>
      <c r="B2080" s="1627"/>
      <c r="C2080" s="3359" t="s">
        <v>316</v>
      </c>
      <c r="D2080" s="3360" t="s">
        <v>773</v>
      </c>
      <c r="E2080" s="3357"/>
      <c r="F2080" s="3357">
        <v>0</v>
      </c>
      <c r="G2080" s="3364">
        <v>19108</v>
      </c>
      <c r="H2080" s="3358">
        <v>19108</v>
      </c>
      <c r="I2080" s="1769">
        <f t="shared" si="434"/>
        <v>1</v>
      </c>
    </row>
    <row r="2081" spans="1:9" ht="15" customHeight="1">
      <c r="A2081" s="1614"/>
      <c r="B2081" s="1627"/>
      <c r="C2081" s="3359" t="s">
        <v>87</v>
      </c>
      <c r="D2081" s="3360" t="s">
        <v>774</v>
      </c>
      <c r="E2081" s="3357">
        <v>40711</v>
      </c>
      <c r="F2081" s="3357">
        <v>26000</v>
      </c>
      <c r="G2081" s="3364">
        <v>434244</v>
      </c>
      <c r="H2081" s="3358">
        <v>402332.42</v>
      </c>
      <c r="I2081" s="1769">
        <f t="shared" si="434"/>
        <v>0.92651232947375206</v>
      </c>
    </row>
    <row r="2082" spans="1:9" ht="15" customHeight="1">
      <c r="A2082" s="1638"/>
      <c r="B2082" s="1638"/>
      <c r="C2082" s="3365" t="s">
        <v>317</v>
      </c>
      <c r="D2082" s="3366" t="s">
        <v>775</v>
      </c>
      <c r="E2082" s="3357">
        <v>1576</v>
      </c>
      <c r="F2082" s="3357">
        <v>600</v>
      </c>
      <c r="G2082" s="3364">
        <v>152</v>
      </c>
      <c r="H2082" s="3358">
        <v>152</v>
      </c>
      <c r="I2082" s="1769">
        <f t="shared" si="434"/>
        <v>1</v>
      </c>
    </row>
    <row r="2083" spans="1:9" ht="15" customHeight="1">
      <c r="A2083" s="1638"/>
      <c r="B2083" s="1638"/>
      <c r="C2083" s="1659" t="s">
        <v>23</v>
      </c>
      <c r="D2083" s="1660" t="s">
        <v>776</v>
      </c>
      <c r="E2083" s="1661">
        <v>3393</v>
      </c>
      <c r="F2083" s="1661">
        <v>10000</v>
      </c>
      <c r="G2083" s="1881">
        <v>8440</v>
      </c>
      <c r="H2083" s="1663">
        <v>8434.7099999999991</v>
      </c>
      <c r="I2083" s="1769">
        <f t="shared" si="434"/>
        <v>0.99937322274881502</v>
      </c>
    </row>
    <row r="2084" spans="1:9" ht="15" customHeight="1">
      <c r="A2084" s="1614"/>
      <c r="B2084" s="1627"/>
      <c r="C2084" s="3367" t="s">
        <v>333</v>
      </c>
      <c r="D2084" s="3368" t="s">
        <v>782</v>
      </c>
      <c r="E2084" s="3357"/>
      <c r="F2084" s="3357">
        <v>0</v>
      </c>
      <c r="G2084" s="3314">
        <v>0</v>
      </c>
      <c r="H2084" s="3358">
        <v>0</v>
      </c>
      <c r="I2084" s="1769"/>
    </row>
    <row r="2085" spans="1:9" ht="15" customHeight="1" thickBot="1">
      <c r="A2085" s="1644"/>
      <c r="B2085" s="2271"/>
      <c r="C2085" s="3369" t="s">
        <v>319</v>
      </c>
      <c r="D2085" s="3370" t="s">
        <v>783</v>
      </c>
      <c r="E2085" s="1678">
        <v>24308</v>
      </c>
      <c r="F2085" s="1678">
        <v>3029</v>
      </c>
      <c r="G2085" s="1921">
        <v>1010</v>
      </c>
      <c r="H2085" s="1747">
        <v>1010</v>
      </c>
      <c r="I2085" s="1651">
        <f t="shared" si="434"/>
        <v>1</v>
      </c>
    </row>
    <row r="2086" spans="1:9" ht="15" hidden="1" customHeight="1">
      <c r="A2086" s="1614"/>
      <c r="B2086" s="1638"/>
      <c r="C2086" s="2333" t="s">
        <v>334</v>
      </c>
      <c r="D2086" s="2955" t="s">
        <v>1144</v>
      </c>
      <c r="E2086" s="1661">
        <v>1594</v>
      </c>
      <c r="F2086" s="1661">
        <v>0</v>
      </c>
      <c r="G2086" s="1881"/>
      <c r="H2086" s="1663"/>
      <c r="I2086" s="1769"/>
    </row>
    <row r="2087" spans="1:9" ht="15" customHeight="1">
      <c r="A2087" s="1614"/>
      <c r="B2087" s="1638"/>
      <c r="C2087" s="3371"/>
      <c r="D2087" s="3372"/>
      <c r="E2087" s="3373"/>
      <c r="F2087" s="3373"/>
      <c r="G2087" s="3364"/>
      <c r="H2087" s="3358"/>
      <c r="I2087" s="3374"/>
    </row>
    <row r="2088" spans="1:9" ht="15" customHeight="1">
      <c r="A2088" s="1614"/>
      <c r="B2088" s="1638"/>
      <c r="C2088" s="4608" t="s">
        <v>791</v>
      </c>
      <c r="D2088" s="4608"/>
      <c r="E2088" s="1668">
        <f t="shared" ref="E2088:H2088" si="443">E2089</f>
        <v>3443</v>
      </c>
      <c r="F2088" s="1668">
        <f t="shared" si="443"/>
        <v>2369</v>
      </c>
      <c r="G2088" s="2134">
        <f t="shared" si="443"/>
        <v>2369</v>
      </c>
      <c r="H2088" s="1818">
        <f t="shared" si="443"/>
        <v>2368.91</v>
      </c>
      <c r="I2088" s="1769">
        <f t="shared" si="434"/>
        <v>0.99996200928661871</v>
      </c>
    </row>
    <row r="2089" spans="1:9" ht="15" customHeight="1">
      <c r="A2089" s="1638"/>
      <c r="B2089" s="1638"/>
      <c r="C2089" s="3375" t="s">
        <v>314</v>
      </c>
      <c r="D2089" s="3376" t="s">
        <v>792</v>
      </c>
      <c r="E2089" s="3357">
        <v>3443</v>
      </c>
      <c r="F2089" s="3357">
        <v>2369</v>
      </c>
      <c r="G2089" s="3363">
        <v>2369</v>
      </c>
      <c r="H2089" s="3358">
        <v>2368.91</v>
      </c>
      <c r="I2089" s="3374">
        <f t="shared" si="434"/>
        <v>0.99996200928661871</v>
      </c>
    </row>
    <row r="2090" spans="1:9" ht="15" customHeight="1">
      <c r="A2090" s="1638"/>
      <c r="B2090" s="1638"/>
      <c r="C2090" s="1614"/>
      <c r="D2090" s="2122"/>
      <c r="E2090" s="1668"/>
      <c r="F2090" s="1661"/>
      <c r="G2090" s="1768"/>
      <c r="H2090" s="1663"/>
      <c r="I2090" s="1769"/>
    </row>
    <row r="2091" spans="1:9" ht="15" customHeight="1">
      <c r="A2091" s="1614"/>
      <c r="B2091" s="1627"/>
      <c r="C2091" s="4708" t="s">
        <v>793</v>
      </c>
      <c r="D2091" s="4709"/>
      <c r="E2091" s="1668">
        <f>E2092</f>
        <v>785000</v>
      </c>
      <c r="F2091" s="1908">
        <f>F2092</f>
        <v>0</v>
      </c>
      <c r="G2091" s="1909">
        <f t="shared" ref="G2091:H2092" si="444">G2092</f>
        <v>91516</v>
      </c>
      <c r="H2091" s="1910">
        <f t="shared" si="444"/>
        <v>91516</v>
      </c>
      <c r="I2091" s="3377">
        <f t="shared" si="434"/>
        <v>1</v>
      </c>
    </row>
    <row r="2092" spans="1:9" ht="15.75" customHeight="1">
      <c r="A2092" s="1614"/>
      <c r="B2092" s="1627"/>
      <c r="C2092" s="4710" t="s">
        <v>794</v>
      </c>
      <c r="D2092" s="4711"/>
      <c r="E2092" s="3357">
        <f>SUM(E2093:E2095)</f>
        <v>785000</v>
      </c>
      <c r="F2092" s="3357">
        <f>F2093</f>
        <v>0</v>
      </c>
      <c r="G2092" s="3357">
        <f t="shared" si="444"/>
        <v>91516</v>
      </c>
      <c r="H2092" s="3358">
        <f t="shared" si="444"/>
        <v>91516</v>
      </c>
      <c r="I2092" s="3378">
        <f t="shared" si="434"/>
        <v>1</v>
      </c>
    </row>
    <row r="2093" spans="1:9" ht="16.5" customHeight="1" thickBot="1">
      <c r="A2093" s="1614"/>
      <c r="B2093" s="1627"/>
      <c r="C2093" s="3379" t="s">
        <v>89</v>
      </c>
      <c r="D2093" s="3360" t="s">
        <v>795</v>
      </c>
      <c r="E2093" s="1668">
        <v>85000</v>
      </c>
      <c r="F2093" s="1668">
        <v>0</v>
      </c>
      <c r="G2093" s="3314">
        <v>91516</v>
      </c>
      <c r="H2093" s="3358">
        <v>91516</v>
      </c>
      <c r="I2093" s="3378">
        <f t="shared" si="434"/>
        <v>1</v>
      </c>
    </row>
    <row r="2094" spans="1:9" ht="23.25" customHeight="1" thickBot="1">
      <c r="A2094" s="1614"/>
      <c r="B2094" s="3010" t="s">
        <v>163</v>
      </c>
      <c r="C2094" s="3011"/>
      <c r="D2094" s="3012" t="s">
        <v>164</v>
      </c>
      <c r="E2094" s="3110">
        <f>E2095+E2099</f>
        <v>350000</v>
      </c>
      <c r="F2094" s="3110">
        <f>F2095+F2099</f>
        <v>200000</v>
      </c>
      <c r="G2094" s="3110">
        <f t="shared" ref="G2094:H2094" si="445">G2095+G2099</f>
        <v>200000</v>
      </c>
      <c r="H2094" s="3111">
        <f t="shared" si="445"/>
        <v>200000</v>
      </c>
      <c r="I2094" s="3380">
        <f t="shared" si="434"/>
        <v>1</v>
      </c>
    </row>
    <row r="2095" spans="1:9">
      <c r="A2095" s="1614"/>
      <c r="B2095" s="1894"/>
      <c r="C2095" s="4712" t="s">
        <v>760</v>
      </c>
      <c r="D2095" s="4712"/>
      <c r="E2095" s="1908">
        <f t="shared" ref="E2095:H2096" si="446">E2096</f>
        <v>350000</v>
      </c>
      <c r="F2095" s="1908">
        <f t="shared" si="446"/>
        <v>200000</v>
      </c>
      <c r="G2095" s="1908">
        <f t="shared" si="446"/>
        <v>200000</v>
      </c>
      <c r="H2095" s="1910">
        <f t="shared" si="446"/>
        <v>200000</v>
      </c>
      <c r="I2095" s="1780">
        <f t="shared" si="434"/>
        <v>1</v>
      </c>
    </row>
    <row r="2096" spans="1:9">
      <c r="A2096" s="1614"/>
      <c r="B2096" s="1894"/>
      <c r="C2096" s="4713" t="s">
        <v>1149</v>
      </c>
      <c r="D2096" s="4714"/>
      <c r="E2096" s="3381">
        <f>E2097</f>
        <v>350000</v>
      </c>
      <c r="F2096" s="3381">
        <f>F2097</f>
        <v>200000</v>
      </c>
      <c r="G2096" s="3381">
        <f t="shared" si="446"/>
        <v>200000</v>
      </c>
      <c r="H2096" s="3382">
        <f t="shared" si="446"/>
        <v>200000</v>
      </c>
      <c r="I2096" s="1769">
        <f t="shared" ref="I2096:I2160" si="447">H2096/G2096</f>
        <v>1</v>
      </c>
    </row>
    <row r="2097" spans="1:9" ht="39" thickBot="1">
      <c r="A2097" s="1614"/>
      <c r="B2097" s="1894"/>
      <c r="C2097" s="3383" t="s">
        <v>86</v>
      </c>
      <c r="D2097" s="2617" t="s">
        <v>941</v>
      </c>
      <c r="E2097" s="2070">
        <v>350000</v>
      </c>
      <c r="F2097" s="2070">
        <v>200000</v>
      </c>
      <c r="G2097" s="3314">
        <v>200000</v>
      </c>
      <c r="H2097" s="3358">
        <v>200000</v>
      </c>
      <c r="I2097" s="1769">
        <f t="shared" si="447"/>
        <v>1</v>
      </c>
    </row>
    <row r="2098" spans="1:9" ht="13.5" hidden="1" thickBot="1">
      <c r="A2098" s="1614"/>
      <c r="B2098" s="1894"/>
      <c r="C2098" s="3384"/>
      <c r="D2098" s="3385"/>
      <c r="E2098" s="1985"/>
      <c r="F2098" s="1985"/>
      <c r="G2098" s="3314"/>
      <c r="H2098" s="3358"/>
      <c r="I2098" s="1769" t="e">
        <f t="shared" si="447"/>
        <v>#DIV/0!</v>
      </c>
    </row>
    <row r="2099" spans="1:9" ht="13.5" hidden="1" thickBot="1">
      <c r="A2099" s="1614"/>
      <c r="B2099" s="4687"/>
      <c r="C2099" s="4633" t="s">
        <v>793</v>
      </c>
      <c r="D2099" s="4633"/>
      <c r="E2099" s="1908">
        <f>E2100</f>
        <v>0</v>
      </c>
      <c r="F2099" s="1908">
        <f t="shared" ref="F2099:F2100" si="448">F2100</f>
        <v>0</v>
      </c>
      <c r="G2099" s="1908"/>
      <c r="H2099" s="1910"/>
      <c r="I2099" s="1769" t="e">
        <f t="shared" si="447"/>
        <v>#DIV/0!</v>
      </c>
    </row>
    <row r="2100" spans="1:9" ht="15.75" hidden="1" thickBot="1">
      <c r="A2100" s="1614"/>
      <c r="B2100" s="4687"/>
      <c r="C2100" s="4711" t="s">
        <v>794</v>
      </c>
      <c r="D2100" s="4715"/>
      <c r="E2100" s="3357">
        <f>E2101</f>
        <v>0</v>
      </c>
      <c r="F2100" s="3357">
        <f t="shared" si="448"/>
        <v>0</v>
      </c>
      <c r="G2100" s="3357"/>
      <c r="H2100" s="3358"/>
      <c r="I2100" s="1769" t="e">
        <f t="shared" si="447"/>
        <v>#DIV/0!</v>
      </c>
    </row>
    <row r="2101" spans="1:9" ht="39" hidden="1" thickBot="1">
      <c r="A2101" s="1614"/>
      <c r="B2101" s="4687"/>
      <c r="C2101" s="3359" t="s">
        <v>88</v>
      </c>
      <c r="D2101" s="3360" t="s">
        <v>909</v>
      </c>
      <c r="E2101" s="3386"/>
      <c r="F2101" s="3386"/>
      <c r="G2101" s="3364"/>
      <c r="H2101" s="3358"/>
      <c r="I2101" s="1725" t="e">
        <f t="shared" si="447"/>
        <v>#DIV/0!</v>
      </c>
    </row>
    <row r="2102" spans="1:9" ht="18" customHeight="1" thickBot="1">
      <c r="A2102" s="3099" t="s">
        <v>101</v>
      </c>
      <c r="B2102" s="3334"/>
      <c r="C2102" s="3335"/>
      <c r="D2102" s="3336" t="s">
        <v>1150</v>
      </c>
      <c r="E2102" s="3337">
        <f>E2103+E2109+E2160+E2191+E2129</f>
        <v>5855560</v>
      </c>
      <c r="F2102" s="3337">
        <f>F2103+F2109+F2160+F2191+F2129</f>
        <v>4402032</v>
      </c>
      <c r="G2102" s="3387">
        <f t="shared" ref="G2102:H2102" si="449">G2103+G2109+G2160+G2191+G2129</f>
        <v>5422205</v>
      </c>
      <c r="H2102" s="3338">
        <f t="shared" si="449"/>
        <v>4985783.5999999996</v>
      </c>
      <c r="I2102" s="3106">
        <f t="shared" si="447"/>
        <v>0.91951219107355764</v>
      </c>
    </row>
    <row r="2103" spans="1:9" ht="18" customHeight="1" thickBot="1">
      <c r="A2103" s="1614"/>
      <c r="B2103" s="3010" t="s">
        <v>1151</v>
      </c>
      <c r="C2103" s="3011"/>
      <c r="D2103" s="3012" t="s">
        <v>1152</v>
      </c>
      <c r="E2103" s="3013">
        <f t="shared" ref="E2103:H2103" si="450">E2104</f>
        <v>3570</v>
      </c>
      <c r="F2103" s="3013">
        <f t="shared" si="450"/>
        <v>3641</v>
      </c>
      <c r="G2103" s="3014">
        <f t="shared" si="450"/>
        <v>3641</v>
      </c>
      <c r="H2103" s="3015">
        <f t="shared" si="450"/>
        <v>3641</v>
      </c>
      <c r="I2103" s="3016">
        <f t="shared" si="447"/>
        <v>1</v>
      </c>
    </row>
    <row r="2104" spans="1:9" ht="15.75" customHeight="1">
      <c r="A2104" s="1614"/>
      <c r="B2104" s="1627"/>
      <c r="C2104" s="4633" t="s">
        <v>760</v>
      </c>
      <c r="D2104" s="4633"/>
      <c r="E2104" s="1615">
        <f t="shared" ref="E2104:H2105" si="451">SUM(E2105)</f>
        <v>3570</v>
      </c>
      <c r="F2104" s="1615">
        <f t="shared" si="451"/>
        <v>3641</v>
      </c>
      <c r="G2104" s="1616">
        <f t="shared" si="451"/>
        <v>3641</v>
      </c>
      <c r="H2104" s="1617">
        <f t="shared" si="451"/>
        <v>3641</v>
      </c>
      <c r="I2104" s="1780">
        <f t="shared" si="447"/>
        <v>1</v>
      </c>
    </row>
    <row r="2105" spans="1:9" ht="15.75" customHeight="1">
      <c r="A2105" s="1614"/>
      <c r="B2105" s="1627"/>
      <c r="C2105" s="4705" t="s">
        <v>761</v>
      </c>
      <c r="D2105" s="4705"/>
      <c r="E2105" s="3357">
        <f t="shared" si="451"/>
        <v>3570</v>
      </c>
      <c r="F2105" s="3357">
        <f t="shared" si="451"/>
        <v>3641</v>
      </c>
      <c r="G2105" s="3363">
        <f t="shared" si="451"/>
        <v>3641</v>
      </c>
      <c r="H2105" s="3358">
        <f t="shared" si="451"/>
        <v>3641</v>
      </c>
      <c r="I2105" s="1769">
        <f t="shared" si="447"/>
        <v>1</v>
      </c>
    </row>
    <row r="2106" spans="1:9" ht="15.75" customHeight="1">
      <c r="A2106" s="1614"/>
      <c r="B2106" s="1627"/>
      <c r="C2106" s="4694" t="s">
        <v>769</v>
      </c>
      <c r="D2106" s="4694"/>
      <c r="E2106" s="3357">
        <f t="shared" ref="E2106:F2106" si="452">SUM(E2107:E2108)</f>
        <v>3570</v>
      </c>
      <c r="F2106" s="3357">
        <f t="shared" si="452"/>
        <v>3641</v>
      </c>
      <c r="G2106" s="3363">
        <f t="shared" ref="G2106:H2106" si="453">SUM(G2107:G2108)</f>
        <v>3641</v>
      </c>
      <c r="H2106" s="3358">
        <f t="shared" si="453"/>
        <v>3641</v>
      </c>
      <c r="I2106" s="1769">
        <f t="shared" si="447"/>
        <v>1</v>
      </c>
    </row>
    <row r="2107" spans="1:9" ht="15.75" customHeight="1">
      <c r="A2107" s="1614"/>
      <c r="B2107" s="1627"/>
      <c r="C2107" s="3359" t="s">
        <v>22</v>
      </c>
      <c r="D2107" s="3360" t="s">
        <v>771</v>
      </c>
      <c r="E2107" s="3357">
        <v>1070</v>
      </c>
      <c r="F2107" s="3357">
        <v>1509</v>
      </c>
      <c r="G2107" s="3314">
        <v>1509</v>
      </c>
      <c r="H2107" s="3358">
        <v>1509</v>
      </c>
      <c r="I2107" s="1769">
        <f t="shared" si="447"/>
        <v>1</v>
      </c>
    </row>
    <row r="2108" spans="1:9" ht="15.75" customHeight="1" thickBot="1">
      <c r="A2108" s="1614"/>
      <c r="B2108" s="1627"/>
      <c r="C2108" s="3388" t="s">
        <v>23</v>
      </c>
      <c r="D2108" s="3368" t="s">
        <v>776</v>
      </c>
      <c r="E2108" s="3386">
        <v>2500</v>
      </c>
      <c r="F2108" s="3386">
        <v>2132</v>
      </c>
      <c r="G2108" s="3364">
        <v>2132</v>
      </c>
      <c r="H2108" s="3358">
        <v>2132</v>
      </c>
      <c r="I2108" s="1725">
        <f t="shared" si="447"/>
        <v>1</v>
      </c>
    </row>
    <row r="2109" spans="1:9" ht="15" customHeight="1" thickBot="1">
      <c r="A2109" s="1614"/>
      <c r="B2109" s="3010" t="s">
        <v>1153</v>
      </c>
      <c r="C2109" s="3228"/>
      <c r="D2109" s="3012" t="s">
        <v>702</v>
      </c>
      <c r="E2109" s="3013">
        <f>E2110</f>
        <v>1370349</v>
      </c>
      <c r="F2109" s="3013">
        <f t="shared" ref="F2109:H2109" si="454">F2110</f>
        <v>90000</v>
      </c>
      <c r="G2109" s="3014">
        <f t="shared" si="454"/>
        <v>400000</v>
      </c>
      <c r="H2109" s="3015">
        <f t="shared" si="454"/>
        <v>126513.4</v>
      </c>
      <c r="I2109" s="3016">
        <f t="shared" si="447"/>
        <v>0.3162835</v>
      </c>
    </row>
    <row r="2110" spans="1:9" ht="12.75" customHeight="1">
      <c r="A2110" s="1614"/>
      <c r="B2110" s="1627"/>
      <c r="C2110" s="4633" t="s">
        <v>760</v>
      </c>
      <c r="D2110" s="4633"/>
      <c r="E2110" s="1615">
        <f>SUM(E2114,E2111)</f>
        <v>1370349</v>
      </c>
      <c r="F2110" s="1615">
        <f t="shared" ref="F2110:H2110" si="455">SUM(F2114,F2111)</f>
        <v>90000</v>
      </c>
      <c r="G2110" s="1616">
        <f t="shared" si="455"/>
        <v>400000</v>
      </c>
      <c r="H2110" s="1617">
        <f t="shared" si="455"/>
        <v>126513.4</v>
      </c>
      <c r="I2110" s="1780">
        <f t="shared" si="447"/>
        <v>0.3162835</v>
      </c>
    </row>
    <row r="2111" spans="1:9" ht="16.5" customHeight="1">
      <c r="A2111" s="1614"/>
      <c r="B2111" s="1627"/>
      <c r="C2111" s="4706" t="s">
        <v>1149</v>
      </c>
      <c r="D2111" s="4707"/>
      <c r="E2111" s="3357">
        <f t="shared" ref="E2111:H2111" si="456">SUM(E2112)</f>
        <v>90000</v>
      </c>
      <c r="F2111" s="3357">
        <f t="shared" si="456"/>
        <v>90000</v>
      </c>
      <c r="G2111" s="3363">
        <f t="shared" si="456"/>
        <v>400000</v>
      </c>
      <c r="H2111" s="3358">
        <f t="shared" si="456"/>
        <v>126513.4</v>
      </c>
      <c r="I2111" s="1769">
        <f t="shared" si="447"/>
        <v>0.3162835</v>
      </c>
    </row>
    <row r="2112" spans="1:9" ht="51.75" customHeight="1" thickBot="1">
      <c r="A2112" s="1627"/>
      <c r="B2112" s="1627"/>
      <c r="C2112" s="3365" t="s">
        <v>44</v>
      </c>
      <c r="D2112" s="3366" t="s">
        <v>850</v>
      </c>
      <c r="E2112" s="3357">
        <v>90000</v>
      </c>
      <c r="F2112" s="3357">
        <v>90000</v>
      </c>
      <c r="G2112" s="3314">
        <v>400000</v>
      </c>
      <c r="H2112" s="3358">
        <v>126513.4</v>
      </c>
      <c r="I2112" s="1769">
        <f t="shared" si="447"/>
        <v>0.3162835</v>
      </c>
    </row>
    <row r="2113" spans="1:9" ht="13.5" hidden="1" thickBot="1">
      <c r="A2113" s="1614"/>
      <c r="B2113" s="1627"/>
      <c r="C2113" s="1688"/>
      <c r="D2113" s="1688"/>
      <c r="E2113" s="1638"/>
      <c r="F2113" s="1638"/>
      <c r="G2113" s="1881"/>
      <c r="H2113" s="3138"/>
      <c r="I2113" s="1769"/>
    </row>
    <row r="2114" spans="1:9" ht="27.75" hidden="1" customHeight="1">
      <c r="A2114" s="1614"/>
      <c r="B2114" s="1627"/>
      <c r="C2114" s="4696" t="s">
        <v>803</v>
      </c>
      <c r="D2114" s="4696"/>
      <c r="E2114" s="3386">
        <f>SUM(E2115:E2128)</f>
        <v>1280349</v>
      </c>
      <c r="F2114" s="3386">
        <f>SUM(F2115:F2128)</f>
        <v>0</v>
      </c>
      <c r="G2114" s="3386">
        <f t="shared" ref="G2114:H2114" si="457">SUM(G2115:G2128)</f>
        <v>0</v>
      </c>
      <c r="H2114" s="3389">
        <f t="shared" si="457"/>
        <v>0</v>
      </c>
      <c r="I2114" s="1769" t="e">
        <f t="shared" si="447"/>
        <v>#DIV/0!</v>
      </c>
    </row>
    <row r="2115" spans="1:9" ht="51.75" hidden="1" thickBot="1">
      <c r="A2115" s="1614"/>
      <c r="B2115" s="1627"/>
      <c r="C2115" s="3359" t="s">
        <v>611</v>
      </c>
      <c r="D2115" s="2930" t="s">
        <v>805</v>
      </c>
      <c r="E2115" s="3386">
        <v>777878</v>
      </c>
      <c r="F2115" s="3386">
        <v>0</v>
      </c>
      <c r="G2115" s="3364"/>
      <c r="H2115" s="3358"/>
      <c r="I2115" s="1769" t="e">
        <f t="shared" si="447"/>
        <v>#DIV/0!</v>
      </c>
    </row>
    <row r="2116" spans="1:9" ht="15.75" hidden="1" customHeight="1">
      <c r="A2116" s="1614"/>
      <c r="B2116" s="1627"/>
      <c r="C2116" s="3359" t="s">
        <v>859</v>
      </c>
      <c r="D2116" s="3360" t="s">
        <v>763</v>
      </c>
      <c r="E2116" s="3386">
        <v>91918</v>
      </c>
      <c r="F2116" s="3386">
        <v>0</v>
      </c>
      <c r="G2116" s="3364"/>
      <c r="H2116" s="3358"/>
      <c r="I2116" s="1769" t="e">
        <f t="shared" si="447"/>
        <v>#DIV/0!</v>
      </c>
    </row>
    <row r="2117" spans="1:9" ht="15.75" hidden="1" customHeight="1">
      <c r="A2117" s="1614"/>
      <c r="B2117" s="1627"/>
      <c r="C2117" s="3359" t="s">
        <v>808</v>
      </c>
      <c r="D2117" s="3360" t="s">
        <v>763</v>
      </c>
      <c r="E2117" s="3386">
        <v>0</v>
      </c>
      <c r="F2117" s="3386">
        <v>0</v>
      </c>
      <c r="G2117" s="3364"/>
      <c r="H2117" s="3358"/>
      <c r="I2117" s="1769" t="e">
        <f t="shared" si="447"/>
        <v>#DIV/0!</v>
      </c>
    </row>
    <row r="2118" spans="1:9" ht="15.75" hidden="1" customHeight="1">
      <c r="A2118" s="1614"/>
      <c r="B2118" s="1627"/>
      <c r="C2118" s="3359" t="s">
        <v>860</v>
      </c>
      <c r="D2118" s="3360" t="s">
        <v>764</v>
      </c>
      <c r="E2118" s="3386">
        <v>3918</v>
      </c>
      <c r="F2118" s="3386">
        <v>0</v>
      </c>
      <c r="G2118" s="3364"/>
      <c r="H2118" s="3358"/>
      <c r="I2118" s="1769" t="e">
        <f t="shared" si="447"/>
        <v>#DIV/0!</v>
      </c>
    </row>
    <row r="2119" spans="1:9" ht="15.75" hidden="1" customHeight="1">
      <c r="A2119" s="1614"/>
      <c r="B2119" s="1627"/>
      <c r="C2119" s="3359" t="s">
        <v>810</v>
      </c>
      <c r="D2119" s="3360" t="s">
        <v>764</v>
      </c>
      <c r="E2119" s="3386">
        <v>8343</v>
      </c>
      <c r="F2119" s="3386">
        <v>0</v>
      </c>
      <c r="G2119" s="3364"/>
      <c r="H2119" s="3358"/>
      <c r="I2119" s="1769" t="e">
        <f t="shared" si="447"/>
        <v>#DIV/0!</v>
      </c>
    </row>
    <row r="2120" spans="1:9" ht="15.75" hidden="1" customHeight="1">
      <c r="A2120" s="1614"/>
      <c r="B2120" s="1627"/>
      <c r="C2120" s="3359" t="s">
        <v>861</v>
      </c>
      <c r="D2120" s="3360" t="s">
        <v>765</v>
      </c>
      <c r="E2120" s="3386">
        <v>18777</v>
      </c>
      <c r="F2120" s="3386">
        <v>0</v>
      </c>
      <c r="G2120" s="3364"/>
      <c r="H2120" s="3358"/>
      <c r="I2120" s="1769" t="e">
        <f t="shared" si="447"/>
        <v>#DIV/0!</v>
      </c>
    </row>
    <row r="2121" spans="1:9" ht="15.75" hidden="1" customHeight="1">
      <c r="A2121" s="1614"/>
      <c r="B2121" s="1627"/>
      <c r="C2121" s="3359" t="s">
        <v>812</v>
      </c>
      <c r="D2121" s="3360" t="s">
        <v>765</v>
      </c>
      <c r="E2121" s="3386">
        <v>1413</v>
      </c>
      <c r="F2121" s="3386">
        <v>0</v>
      </c>
      <c r="G2121" s="3364"/>
      <c r="H2121" s="3358"/>
      <c r="I2121" s="1769" t="e">
        <f t="shared" si="447"/>
        <v>#DIV/0!</v>
      </c>
    </row>
    <row r="2122" spans="1:9" ht="27.75" hidden="1" customHeight="1">
      <c r="A2122" s="1614"/>
      <c r="B2122" s="1627"/>
      <c r="C2122" s="3359" t="s">
        <v>862</v>
      </c>
      <c r="D2122" s="3360" t="s">
        <v>766</v>
      </c>
      <c r="E2122" s="3386">
        <v>5607</v>
      </c>
      <c r="F2122" s="3386">
        <v>0</v>
      </c>
      <c r="G2122" s="3364"/>
      <c r="H2122" s="3358"/>
      <c r="I2122" s="1769" t="e">
        <f t="shared" si="447"/>
        <v>#DIV/0!</v>
      </c>
    </row>
    <row r="2123" spans="1:9" ht="27" hidden="1" customHeight="1">
      <c r="A2123" s="1614"/>
      <c r="B2123" s="1627"/>
      <c r="C2123" s="3359" t="s">
        <v>814</v>
      </c>
      <c r="D2123" s="3360" t="s">
        <v>766</v>
      </c>
      <c r="E2123" s="3386">
        <v>91</v>
      </c>
      <c r="F2123" s="3386">
        <v>0</v>
      </c>
      <c r="G2123" s="3364"/>
      <c r="H2123" s="3358"/>
      <c r="I2123" s="1769" t="e">
        <f t="shared" si="447"/>
        <v>#DIV/0!</v>
      </c>
    </row>
    <row r="2124" spans="1:9" ht="15.75" hidden="1" customHeight="1">
      <c r="A2124" s="1614"/>
      <c r="B2124" s="1627"/>
      <c r="C2124" s="3359" t="s">
        <v>863</v>
      </c>
      <c r="D2124" s="3360" t="s">
        <v>771</v>
      </c>
      <c r="E2124" s="3386">
        <v>3137</v>
      </c>
      <c r="F2124" s="3386">
        <v>0</v>
      </c>
      <c r="G2124" s="3364"/>
      <c r="H2124" s="3358"/>
      <c r="I2124" s="1769" t="e">
        <f t="shared" si="447"/>
        <v>#DIV/0!</v>
      </c>
    </row>
    <row r="2125" spans="1:9" ht="15.75" hidden="1" customHeight="1" thickBot="1">
      <c r="A2125" s="1644"/>
      <c r="B2125" s="1645"/>
      <c r="C2125" s="3369" t="s">
        <v>821</v>
      </c>
      <c r="D2125" s="3370" t="s">
        <v>771</v>
      </c>
      <c r="E2125" s="1678"/>
      <c r="F2125" s="1678">
        <v>0</v>
      </c>
      <c r="G2125" s="3390"/>
      <c r="H2125" s="1747"/>
      <c r="I2125" s="1651" t="e">
        <f t="shared" si="447"/>
        <v>#DIV/0!</v>
      </c>
    </row>
    <row r="2126" spans="1:9" ht="15.75" hidden="1" customHeight="1">
      <c r="A2126" s="1614"/>
      <c r="B2126" s="1627"/>
      <c r="C2126" s="1659" t="s">
        <v>864</v>
      </c>
      <c r="D2126" s="1660" t="s">
        <v>776</v>
      </c>
      <c r="E2126" s="1668">
        <v>267773</v>
      </c>
      <c r="F2126" s="1668">
        <v>0</v>
      </c>
      <c r="G2126" s="1881"/>
      <c r="H2126" s="1663"/>
      <c r="I2126" s="1769" t="e">
        <f t="shared" si="447"/>
        <v>#DIV/0!</v>
      </c>
    </row>
    <row r="2127" spans="1:9" ht="15" hidden="1" customHeight="1">
      <c r="A2127" s="1614"/>
      <c r="B2127" s="1627"/>
      <c r="C2127" s="3367" t="s">
        <v>825</v>
      </c>
      <c r="D2127" s="3368" t="s">
        <v>776</v>
      </c>
      <c r="E2127" s="3386">
        <v>100363</v>
      </c>
      <c r="F2127" s="3386">
        <v>0</v>
      </c>
      <c r="G2127" s="3364"/>
      <c r="H2127" s="3358"/>
      <c r="I2127" s="1769" t="e">
        <f t="shared" si="447"/>
        <v>#DIV/0!</v>
      </c>
    </row>
    <row r="2128" spans="1:9" ht="15" hidden="1" customHeight="1" thickBot="1">
      <c r="A2128" s="1614"/>
      <c r="B2128" s="1627"/>
      <c r="C2128" s="3391" t="s">
        <v>1131</v>
      </c>
      <c r="D2128" s="3392" t="s">
        <v>783</v>
      </c>
      <c r="E2128" s="3386">
        <v>1131</v>
      </c>
      <c r="F2128" s="3386">
        <v>0</v>
      </c>
      <c r="G2128" s="3393"/>
      <c r="H2128" s="3389"/>
      <c r="I2128" s="1725" t="e">
        <f t="shared" si="447"/>
        <v>#DIV/0!</v>
      </c>
    </row>
    <row r="2129" spans="1:9" ht="17.25" hidden="1" customHeight="1" thickBot="1">
      <c r="A2129" s="3188"/>
      <c r="B2129" s="3010" t="s">
        <v>1154</v>
      </c>
      <c r="C2129" s="3228"/>
      <c r="D2129" s="3012" t="s">
        <v>1155</v>
      </c>
      <c r="E2129" s="3013">
        <f>E2130+E2150</f>
        <v>796392</v>
      </c>
      <c r="F2129" s="3013">
        <f>F2130+F2150</f>
        <v>0</v>
      </c>
      <c r="G2129" s="3014">
        <f t="shared" ref="G2129:H2129" si="458">G2130+G2150</f>
        <v>0</v>
      </c>
      <c r="H2129" s="3015">
        <f t="shared" si="458"/>
        <v>0</v>
      </c>
      <c r="I2129" s="3016"/>
    </row>
    <row r="2130" spans="1:9" ht="15" hidden="1" customHeight="1">
      <c r="A2130" s="1614"/>
      <c r="B2130" s="1627"/>
      <c r="C2130" s="4633" t="s">
        <v>760</v>
      </c>
      <c r="D2130" s="4633"/>
      <c r="E2130" s="1668">
        <f>E2131</f>
        <v>681391</v>
      </c>
      <c r="F2130" s="1908">
        <f>F2131</f>
        <v>0</v>
      </c>
      <c r="G2130" s="1909">
        <f t="shared" ref="G2130:H2130" si="459">G2131</f>
        <v>0</v>
      </c>
      <c r="H2130" s="1910">
        <f t="shared" si="459"/>
        <v>0</v>
      </c>
      <c r="I2130" s="1780"/>
    </row>
    <row r="2131" spans="1:9" ht="27" hidden="1" customHeight="1">
      <c r="A2131" s="1614"/>
      <c r="B2131" s="1627"/>
      <c r="C2131" s="4696" t="s">
        <v>803</v>
      </c>
      <c r="D2131" s="4696"/>
      <c r="E2131" s="3357">
        <f>SUM(E2132:E2148)</f>
        <v>681391</v>
      </c>
      <c r="F2131" s="3357">
        <f>SUM(F2132:F2148)</f>
        <v>0</v>
      </c>
      <c r="G2131" s="3363">
        <f t="shared" ref="G2131:H2131" si="460">SUM(G2132:G2148)</f>
        <v>0</v>
      </c>
      <c r="H2131" s="3358">
        <f t="shared" si="460"/>
        <v>0</v>
      </c>
      <c r="I2131" s="1769"/>
    </row>
    <row r="2132" spans="1:9" ht="64.5" hidden="1" customHeight="1">
      <c r="A2132" s="1614"/>
      <c r="B2132" s="1627"/>
      <c r="C2132" s="3359" t="s">
        <v>611</v>
      </c>
      <c r="D2132" s="2930" t="s">
        <v>805</v>
      </c>
      <c r="E2132" s="1661">
        <v>230000</v>
      </c>
      <c r="F2132" s="1661">
        <v>0</v>
      </c>
      <c r="G2132" s="3314"/>
      <c r="H2132" s="3358"/>
      <c r="I2132" s="1769"/>
    </row>
    <row r="2133" spans="1:9" ht="17.25" hidden="1" customHeight="1">
      <c r="A2133" s="1614"/>
      <c r="B2133" s="1627"/>
      <c r="C2133" s="3359" t="s">
        <v>859</v>
      </c>
      <c r="D2133" s="3360" t="s">
        <v>763</v>
      </c>
      <c r="E2133" s="1668">
        <v>120999</v>
      </c>
      <c r="F2133" s="1661">
        <v>0</v>
      </c>
      <c r="G2133" s="3314"/>
      <c r="H2133" s="3358"/>
      <c r="I2133" s="1769"/>
    </row>
    <row r="2134" spans="1:9" ht="17.25" hidden="1" customHeight="1">
      <c r="A2134" s="1614"/>
      <c r="B2134" s="1627"/>
      <c r="C2134" s="3359" t="s">
        <v>860</v>
      </c>
      <c r="D2134" s="3360" t="s">
        <v>764</v>
      </c>
      <c r="E2134" s="3357">
        <v>0</v>
      </c>
      <c r="F2134" s="1661">
        <v>0</v>
      </c>
      <c r="G2134" s="3314"/>
      <c r="H2134" s="3358"/>
      <c r="I2134" s="1769"/>
    </row>
    <row r="2135" spans="1:9" ht="17.25" hidden="1" customHeight="1">
      <c r="A2135" s="1614"/>
      <c r="B2135" s="1627"/>
      <c r="C2135" s="3359" t="s">
        <v>861</v>
      </c>
      <c r="D2135" s="3360" t="s">
        <v>765</v>
      </c>
      <c r="E2135" s="1668">
        <v>20485</v>
      </c>
      <c r="F2135" s="1661">
        <v>0</v>
      </c>
      <c r="G2135" s="3314"/>
      <c r="H2135" s="3358"/>
      <c r="I2135" s="1769"/>
    </row>
    <row r="2136" spans="1:9" ht="26.25" hidden="1" customHeight="1">
      <c r="A2136" s="1614"/>
      <c r="B2136" s="1627"/>
      <c r="C2136" s="3359" t="s">
        <v>862</v>
      </c>
      <c r="D2136" s="3360" t="s">
        <v>766</v>
      </c>
      <c r="E2136" s="3357">
        <v>2965</v>
      </c>
      <c r="F2136" s="1661">
        <v>0</v>
      </c>
      <c r="G2136" s="3314"/>
      <c r="H2136" s="3358"/>
      <c r="I2136" s="1769"/>
    </row>
    <row r="2137" spans="1:9" ht="15.75" hidden="1" customHeight="1">
      <c r="A2137" s="1614"/>
      <c r="B2137" s="1627"/>
      <c r="C2137" s="3359" t="s">
        <v>962</v>
      </c>
      <c r="D2137" s="3360" t="s">
        <v>767</v>
      </c>
      <c r="E2137" s="1668">
        <v>0</v>
      </c>
      <c r="F2137" s="1661">
        <v>0</v>
      </c>
      <c r="G2137" s="3314"/>
      <c r="H2137" s="3358"/>
      <c r="I2137" s="1769"/>
    </row>
    <row r="2138" spans="1:9" ht="15.75" hidden="1" customHeight="1">
      <c r="A2138" s="1614"/>
      <c r="B2138" s="1627"/>
      <c r="C2138" s="3359" t="s">
        <v>863</v>
      </c>
      <c r="D2138" s="3360" t="s">
        <v>771</v>
      </c>
      <c r="E2138" s="3357">
        <v>0</v>
      </c>
      <c r="F2138" s="1661">
        <v>0</v>
      </c>
      <c r="G2138" s="3314"/>
      <c r="H2138" s="3358"/>
      <c r="I2138" s="1769"/>
    </row>
    <row r="2139" spans="1:9" ht="15.75" hidden="1" customHeight="1">
      <c r="A2139" s="1614"/>
      <c r="B2139" s="1627"/>
      <c r="C2139" s="3359" t="s">
        <v>1070</v>
      </c>
      <c r="D2139" s="3360" t="s">
        <v>945</v>
      </c>
      <c r="E2139" s="1668">
        <v>752</v>
      </c>
      <c r="F2139" s="1661">
        <v>0</v>
      </c>
      <c r="G2139" s="3314"/>
      <c r="H2139" s="3358"/>
      <c r="I2139" s="1769"/>
    </row>
    <row r="2140" spans="1:9" ht="15.75" hidden="1" customHeight="1">
      <c r="A2140" s="1614"/>
      <c r="B2140" s="1627"/>
      <c r="C2140" s="1695" t="s">
        <v>1006</v>
      </c>
      <c r="D2140" s="1696" t="s">
        <v>773</v>
      </c>
      <c r="E2140" s="3394">
        <v>0</v>
      </c>
      <c r="F2140" s="1661">
        <v>0</v>
      </c>
      <c r="G2140" s="3298"/>
      <c r="H2140" s="3395"/>
      <c r="I2140" s="1725"/>
    </row>
    <row r="2141" spans="1:9" ht="15.75" hidden="1" customHeight="1">
      <c r="A2141" s="1614"/>
      <c r="B2141" s="1627"/>
      <c r="C2141" s="3375" t="s">
        <v>1128</v>
      </c>
      <c r="D2141" s="3396" t="s">
        <v>775</v>
      </c>
      <c r="E2141" s="3357">
        <v>0</v>
      </c>
      <c r="F2141" s="1661">
        <v>0</v>
      </c>
      <c r="G2141" s="3314"/>
      <c r="H2141" s="3358"/>
      <c r="I2141" s="3378"/>
    </row>
    <row r="2142" spans="1:9" ht="15.75" hidden="1" customHeight="1">
      <c r="A2142" s="1614"/>
      <c r="B2142" s="1627"/>
      <c r="C2142" s="3397" t="s">
        <v>864</v>
      </c>
      <c r="D2142" s="3396" t="s">
        <v>776</v>
      </c>
      <c r="E2142" s="1668">
        <v>226419</v>
      </c>
      <c r="F2142" s="1661">
        <v>0</v>
      </c>
      <c r="G2142" s="3314"/>
      <c r="H2142" s="3358"/>
      <c r="I2142" s="1769"/>
    </row>
    <row r="2143" spans="1:9" ht="15.75" hidden="1" customHeight="1">
      <c r="A2143" s="1614"/>
      <c r="B2143" s="1627"/>
      <c r="C2143" s="3375" t="s">
        <v>825</v>
      </c>
      <c r="D2143" s="3396" t="s">
        <v>776</v>
      </c>
      <c r="E2143" s="3357">
        <v>71726</v>
      </c>
      <c r="F2143" s="1661">
        <v>0</v>
      </c>
      <c r="G2143" s="3314"/>
      <c r="H2143" s="3358"/>
      <c r="I2143" s="1769"/>
    </row>
    <row r="2144" spans="1:9" ht="15.75" hidden="1" customHeight="1">
      <c r="A2144" s="1614"/>
      <c r="B2144" s="1627"/>
      <c r="C2144" s="3397" t="s">
        <v>1007</v>
      </c>
      <c r="D2144" s="1696" t="s">
        <v>777</v>
      </c>
      <c r="E2144" s="1668">
        <v>0</v>
      </c>
      <c r="F2144" s="1661">
        <v>0</v>
      </c>
      <c r="G2144" s="3314"/>
      <c r="H2144" s="3358"/>
      <c r="I2144" s="1769"/>
    </row>
    <row r="2145" spans="1:9" ht="15.75" hidden="1" customHeight="1">
      <c r="A2145" s="1614"/>
      <c r="B2145" s="1627"/>
      <c r="C2145" s="3375" t="s">
        <v>866</v>
      </c>
      <c r="D2145" s="3376" t="s">
        <v>781</v>
      </c>
      <c r="E2145" s="3357">
        <v>2818</v>
      </c>
      <c r="F2145" s="1661">
        <v>0</v>
      </c>
      <c r="G2145" s="3314"/>
      <c r="H2145" s="3358"/>
      <c r="I2145" s="1769"/>
    </row>
    <row r="2146" spans="1:9" ht="15.75" hidden="1" customHeight="1">
      <c r="A2146" s="1614"/>
      <c r="B2146" s="1627"/>
      <c r="C2146" s="3397" t="s">
        <v>1130</v>
      </c>
      <c r="D2146" s="1696" t="s">
        <v>783</v>
      </c>
      <c r="E2146" s="1668">
        <v>5227</v>
      </c>
      <c r="F2146" s="1661">
        <v>0</v>
      </c>
      <c r="G2146" s="3314"/>
      <c r="H2146" s="3358"/>
      <c r="I2146" s="1769"/>
    </row>
    <row r="2147" spans="1:9" ht="15.75" hidden="1" customHeight="1">
      <c r="A2147" s="1614"/>
      <c r="B2147" s="1627"/>
      <c r="C2147" s="3375" t="s">
        <v>1132</v>
      </c>
      <c r="D2147" s="3376" t="s">
        <v>784</v>
      </c>
      <c r="E2147" s="3357">
        <v>0</v>
      </c>
      <c r="F2147" s="1661">
        <v>0</v>
      </c>
      <c r="G2147" s="3314"/>
      <c r="H2147" s="3358"/>
      <c r="I2147" s="1769"/>
    </row>
    <row r="2148" spans="1:9" ht="15.75" hidden="1" customHeight="1">
      <c r="A2148" s="1614"/>
      <c r="B2148" s="1627"/>
      <c r="C2148" s="3397" t="s">
        <v>1134</v>
      </c>
      <c r="D2148" s="1696" t="s">
        <v>787</v>
      </c>
      <c r="E2148" s="1668">
        <v>0</v>
      </c>
      <c r="F2148" s="1661">
        <v>0</v>
      </c>
      <c r="G2148" s="3314"/>
      <c r="H2148" s="3358"/>
      <c r="I2148" s="1769"/>
    </row>
    <row r="2149" spans="1:9" ht="15" hidden="1" customHeight="1">
      <c r="A2149" s="1614"/>
      <c r="B2149" s="1627"/>
      <c r="C2149" s="4697"/>
      <c r="D2149" s="4698"/>
      <c r="E2149" s="3357"/>
      <c r="F2149" s="3357"/>
      <c r="G2149" s="3398"/>
      <c r="H2149" s="3358"/>
      <c r="I2149" s="1769"/>
    </row>
    <row r="2150" spans="1:9" ht="15" hidden="1" customHeight="1">
      <c r="A2150" s="1614"/>
      <c r="B2150" s="1627"/>
      <c r="C2150" s="4699" t="s">
        <v>793</v>
      </c>
      <c r="D2150" s="4700"/>
      <c r="E2150" s="1668">
        <f>E2151</f>
        <v>115001</v>
      </c>
      <c r="F2150" s="1668">
        <f>F2151</f>
        <v>0</v>
      </c>
      <c r="G2150" s="2134">
        <f t="shared" ref="G2150:H2150" si="461">G2151</f>
        <v>0</v>
      </c>
      <c r="H2150" s="1818">
        <f t="shared" si="461"/>
        <v>0</v>
      </c>
      <c r="I2150" s="1769"/>
    </row>
    <row r="2151" spans="1:9" ht="15.75" hidden="1" customHeight="1">
      <c r="A2151" s="1614"/>
      <c r="B2151" s="1627"/>
      <c r="C2151" s="4701" t="s">
        <v>794</v>
      </c>
      <c r="D2151" s="4702"/>
      <c r="E2151" s="3399">
        <f>SUM(E2152:E2154)</f>
        <v>115001</v>
      </c>
      <c r="F2151" s="3399">
        <f>SUM(F2152:F2154)</f>
        <v>0</v>
      </c>
      <c r="G2151" s="3400">
        <f t="shared" ref="G2151:H2151" si="462">SUM(G2152:G2154)</f>
        <v>0</v>
      </c>
      <c r="H2151" s="3401">
        <f t="shared" si="462"/>
        <v>0</v>
      </c>
      <c r="I2151" s="1769"/>
    </row>
    <row r="2152" spans="1:9" ht="16.5" hidden="1" customHeight="1">
      <c r="A2152" s="1614"/>
      <c r="B2152" s="1627"/>
      <c r="C2152" s="3402" t="s">
        <v>891</v>
      </c>
      <c r="D2152" s="3403" t="s">
        <v>795</v>
      </c>
      <c r="E2152" s="1668">
        <v>85000</v>
      </c>
      <c r="F2152" s="1668">
        <v>0</v>
      </c>
      <c r="G2152" s="3398"/>
      <c r="H2152" s="3401"/>
      <c r="I2152" s="1769"/>
    </row>
    <row r="2153" spans="1:9" ht="18.75" hidden="1" customHeight="1" thickBot="1">
      <c r="A2153" s="1644"/>
      <c r="B2153" s="1645"/>
      <c r="C2153" s="3404" t="s">
        <v>869</v>
      </c>
      <c r="D2153" s="3405" t="s">
        <v>842</v>
      </c>
      <c r="E2153" s="1678">
        <v>17895</v>
      </c>
      <c r="F2153" s="1668">
        <v>0</v>
      </c>
      <c r="G2153" s="3029"/>
      <c r="H2153" s="1747"/>
      <c r="I2153" s="1651"/>
    </row>
    <row r="2154" spans="1:9" ht="16.5" hidden="1" customHeight="1">
      <c r="A2154" s="3188"/>
      <c r="B2154" s="3406"/>
      <c r="C2154" s="3407" t="s">
        <v>890</v>
      </c>
      <c r="D2154" s="3191" t="s">
        <v>842</v>
      </c>
      <c r="E2154" s="3408">
        <v>12106</v>
      </c>
      <c r="F2154" s="1668">
        <v>0</v>
      </c>
      <c r="G2154" s="3220"/>
      <c r="H2154" s="3267"/>
      <c r="I2154" s="3174"/>
    </row>
    <row r="2155" spans="1:9" ht="15" hidden="1" customHeight="1">
      <c r="A2155" s="1614"/>
      <c r="B2155" s="1627"/>
      <c r="C2155" s="4703"/>
      <c r="D2155" s="4704"/>
      <c r="E2155" s="3409"/>
      <c r="F2155" s="3409"/>
      <c r="G2155" s="3410"/>
      <c r="H2155" s="3401"/>
      <c r="I2155" s="1769"/>
    </row>
    <row r="2156" spans="1:9" ht="27" hidden="1" customHeight="1">
      <c r="A2156" s="1614"/>
      <c r="B2156" s="1627"/>
      <c r="C2156" s="4636" t="s">
        <v>801</v>
      </c>
      <c r="D2156" s="4692"/>
      <c r="E2156" s="3399">
        <f>SUM(E2157:E2159)</f>
        <v>115001</v>
      </c>
      <c r="F2156" s="3399">
        <f>SUM(F2157:F2159)</f>
        <v>0</v>
      </c>
      <c r="G2156" s="3400">
        <f t="shared" ref="G2156:H2156" si="463">SUM(G2157:G2159)</f>
        <v>0</v>
      </c>
      <c r="H2156" s="3401">
        <f t="shared" si="463"/>
        <v>0</v>
      </c>
      <c r="I2156" s="1769"/>
    </row>
    <row r="2157" spans="1:9" ht="18.75" hidden="1" customHeight="1">
      <c r="A2157" s="1614"/>
      <c r="B2157" s="1627"/>
      <c r="C2157" s="3411" t="s">
        <v>891</v>
      </c>
      <c r="D2157" s="3412" t="s">
        <v>795</v>
      </c>
      <c r="E2157" s="3399">
        <v>85000</v>
      </c>
      <c r="F2157" s="3399">
        <v>0</v>
      </c>
      <c r="G2157" s="3410"/>
      <c r="H2157" s="3401"/>
      <c r="I2157" s="1769"/>
    </row>
    <row r="2158" spans="1:9" ht="18" hidden="1" customHeight="1">
      <c r="A2158" s="1614"/>
      <c r="B2158" s="1627"/>
      <c r="C2158" s="1695" t="s">
        <v>869</v>
      </c>
      <c r="D2158" s="1696" t="s">
        <v>842</v>
      </c>
      <c r="E2158" s="1668">
        <v>17895</v>
      </c>
      <c r="F2158" s="3399">
        <v>0</v>
      </c>
      <c r="G2158" s="3400"/>
      <c r="H2158" s="3401"/>
      <c r="I2158" s="1769"/>
    </row>
    <row r="2159" spans="1:9" ht="17.25" hidden="1" customHeight="1" thickBot="1">
      <c r="A2159" s="1614"/>
      <c r="B2159" s="1627"/>
      <c r="C2159" s="1900" t="s">
        <v>890</v>
      </c>
      <c r="D2159" s="1920" t="s">
        <v>842</v>
      </c>
      <c r="E2159" s="1678">
        <v>12106</v>
      </c>
      <c r="F2159" s="3399">
        <v>0</v>
      </c>
      <c r="G2159" s="1967"/>
      <c r="H2159" s="1815"/>
      <c r="I2159" s="1725"/>
    </row>
    <row r="2160" spans="1:9" ht="15.75" customHeight="1" thickBot="1">
      <c r="A2160" s="1614"/>
      <c r="B2160" s="3010" t="s">
        <v>288</v>
      </c>
      <c r="C2160" s="3011"/>
      <c r="D2160" s="3012" t="s">
        <v>289</v>
      </c>
      <c r="E2160" s="3013">
        <f t="shared" ref="E2160:H2160" si="464">E2161</f>
        <v>923890</v>
      </c>
      <c r="F2160" s="3013">
        <f t="shared" si="464"/>
        <v>883000</v>
      </c>
      <c r="G2160" s="3014">
        <f t="shared" si="464"/>
        <v>1592846</v>
      </c>
      <c r="H2160" s="3015">
        <f t="shared" si="464"/>
        <v>1589051.3900000001</v>
      </c>
      <c r="I2160" s="3016">
        <f t="shared" si="447"/>
        <v>0.99761771696698875</v>
      </c>
    </row>
    <row r="2161" spans="1:9" ht="15.75" customHeight="1">
      <c r="A2161" s="1614"/>
      <c r="B2161" s="1627"/>
      <c r="C2161" s="4633" t="s">
        <v>760</v>
      </c>
      <c r="D2161" s="4633"/>
      <c r="E2161" s="1615">
        <f>E2162+E2189</f>
        <v>923890</v>
      </c>
      <c r="F2161" s="1615">
        <f t="shared" ref="F2161:H2161" si="465">F2162+F2189</f>
        <v>883000</v>
      </c>
      <c r="G2161" s="1616">
        <f>G2162+G2189</f>
        <v>1592846</v>
      </c>
      <c r="H2161" s="1617">
        <f t="shared" si="465"/>
        <v>1589051.3900000001</v>
      </c>
      <c r="I2161" s="1780">
        <f t="shared" ref="I2161:I2222" si="466">H2161/G2161</f>
        <v>0.99761771696698875</v>
      </c>
    </row>
    <row r="2162" spans="1:9" ht="15.75" customHeight="1">
      <c r="A2162" s="1614"/>
      <c r="B2162" s="1627"/>
      <c r="C2162" s="4693" t="s">
        <v>761</v>
      </c>
      <c r="D2162" s="4693"/>
      <c r="E2162" s="3399">
        <f t="shared" ref="E2162:H2162" si="467">E2163+E2172</f>
        <v>921030</v>
      </c>
      <c r="F2162" s="3399">
        <f t="shared" si="467"/>
        <v>879337</v>
      </c>
      <c r="G2162" s="3400">
        <f t="shared" si="467"/>
        <v>1590772</v>
      </c>
      <c r="H2162" s="3401">
        <f t="shared" si="467"/>
        <v>1587005.62</v>
      </c>
      <c r="I2162" s="1769">
        <f t="shared" si="466"/>
        <v>0.9976323571196879</v>
      </c>
    </row>
    <row r="2163" spans="1:9" ht="15.75" customHeight="1">
      <c r="A2163" s="1614"/>
      <c r="B2163" s="1627"/>
      <c r="C2163" s="4618" t="s">
        <v>762</v>
      </c>
      <c r="D2163" s="4618"/>
      <c r="E2163" s="3413">
        <f>SUM(E2164:E2170)</f>
        <v>781820</v>
      </c>
      <c r="F2163" s="3413">
        <f>SUM(F2164:F2170)</f>
        <v>721640</v>
      </c>
      <c r="G2163" s="3413">
        <f t="shared" ref="G2163:H2163" si="468">SUM(G2164:G2170)</f>
        <v>1398830</v>
      </c>
      <c r="H2163" s="3414">
        <f t="shared" si="468"/>
        <v>1396689.75</v>
      </c>
      <c r="I2163" s="1783">
        <f t="shared" si="466"/>
        <v>0.9984699713331856</v>
      </c>
    </row>
    <row r="2164" spans="1:9" ht="15.75" customHeight="1" thickBot="1">
      <c r="A2164" s="1644"/>
      <c r="B2164" s="1645"/>
      <c r="C2164" s="3415" t="s">
        <v>61</v>
      </c>
      <c r="D2164" s="3405" t="s">
        <v>763</v>
      </c>
      <c r="E2164" s="1678">
        <v>584931</v>
      </c>
      <c r="F2164" s="1678">
        <v>502691</v>
      </c>
      <c r="G2164" s="3029">
        <v>1093393</v>
      </c>
      <c r="H2164" s="1747">
        <v>1093393</v>
      </c>
      <c r="I2164" s="1651">
        <f t="shared" si="466"/>
        <v>1</v>
      </c>
    </row>
    <row r="2165" spans="1:9" ht="15.75" customHeight="1">
      <c r="A2165" s="1614"/>
      <c r="B2165" s="1627"/>
      <c r="C2165" s="1659" t="s">
        <v>315</v>
      </c>
      <c r="D2165" s="1660" t="s">
        <v>764</v>
      </c>
      <c r="E2165" s="3137">
        <v>73966</v>
      </c>
      <c r="F2165" s="3137">
        <v>86509</v>
      </c>
      <c r="G2165" s="1881">
        <v>81985</v>
      </c>
      <c r="H2165" s="3138">
        <v>81984.45</v>
      </c>
      <c r="I2165" s="1769">
        <f t="shared" si="466"/>
        <v>0.99999329145575411</v>
      </c>
    </row>
    <row r="2166" spans="1:9" ht="15.75" customHeight="1">
      <c r="A2166" s="1638"/>
      <c r="B2166" s="1638"/>
      <c r="C2166" s="3416" t="s">
        <v>62</v>
      </c>
      <c r="D2166" s="3417" t="s">
        <v>765</v>
      </c>
      <c r="E2166" s="3399">
        <v>109212</v>
      </c>
      <c r="F2166" s="3399">
        <v>99752</v>
      </c>
      <c r="G2166" s="3314">
        <v>195010</v>
      </c>
      <c r="H2166" s="3401">
        <v>194073.08</v>
      </c>
      <c r="I2166" s="1769">
        <f t="shared" si="466"/>
        <v>0.99519552843443915</v>
      </c>
    </row>
    <row r="2167" spans="1:9" ht="32.25" customHeight="1">
      <c r="A2167" s="1638"/>
      <c r="B2167" s="1638"/>
      <c r="C2167" s="1659" t="s">
        <v>63</v>
      </c>
      <c r="D2167" s="1660" t="s">
        <v>766</v>
      </c>
      <c r="E2167" s="1661">
        <v>12711</v>
      </c>
      <c r="F2167" s="1661">
        <v>14012</v>
      </c>
      <c r="G2167" s="1881">
        <v>25788</v>
      </c>
      <c r="H2167" s="1663">
        <v>24710.25</v>
      </c>
      <c r="I2167" s="1769">
        <f t="shared" si="466"/>
        <v>0.95820730572359236</v>
      </c>
    </row>
    <row r="2168" spans="1:9" ht="27" customHeight="1">
      <c r="A2168" s="1614"/>
      <c r="B2168" s="1627"/>
      <c r="C2168" s="3359" t="s">
        <v>324</v>
      </c>
      <c r="D2168" s="3360" t="s">
        <v>767</v>
      </c>
      <c r="E2168" s="3399"/>
      <c r="F2168" s="3399">
        <v>1000</v>
      </c>
      <c r="G2168" s="3314">
        <v>0</v>
      </c>
      <c r="H2168" s="3401">
        <v>0</v>
      </c>
      <c r="I2168" s="1769"/>
    </row>
    <row r="2169" spans="1:9" ht="19.5" customHeight="1">
      <c r="A2169" s="1614"/>
      <c r="B2169" s="1627"/>
      <c r="C2169" s="3359" t="s">
        <v>335</v>
      </c>
      <c r="D2169" s="3360" t="s">
        <v>768</v>
      </c>
      <c r="E2169" s="3399"/>
      <c r="F2169" s="3399">
        <v>17676</v>
      </c>
      <c r="G2169" s="3314">
        <v>2654</v>
      </c>
      <c r="H2169" s="3401">
        <v>2528.9699999999998</v>
      </c>
      <c r="I2169" s="1769">
        <f t="shared" si="466"/>
        <v>0.95288997739261483</v>
      </c>
    </row>
    <row r="2170" spans="1:9" ht="15.75" hidden="1" customHeight="1">
      <c r="A2170" s="1614"/>
      <c r="B2170" s="1627"/>
      <c r="C2170" s="3418" t="s">
        <v>324</v>
      </c>
      <c r="D2170" s="1905" t="s">
        <v>767</v>
      </c>
      <c r="E2170" s="1661">
        <v>1000</v>
      </c>
      <c r="F2170" s="1661">
        <v>0</v>
      </c>
      <c r="G2170" s="3314"/>
      <c r="H2170" s="3401"/>
      <c r="I2170" s="1769" t="e">
        <f t="shared" si="466"/>
        <v>#DIV/0!</v>
      </c>
    </row>
    <row r="2171" spans="1:9" ht="15.75" customHeight="1">
      <c r="A2171" s="1614"/>
      <c r="B2171" s="1627"/>
      <c r="C2171" s="1688"/>
      <c r="D2171" s="1688"/>
      <c r="E2171" s="1638"/>
      <c r="F2171" s="1638"/>
      <c r="G2171" s="3314"/>
      <c r="H2171" s="3401"/>
      <c r="I2171" s="1769"/>
    </row>
    <row r="2172" spans="1:9" ht="15.75" customHeight="1">
      <c r="A2172" s="1614"/>
      <c r="B2172" s="1627"/>
      <c r="C2172" s="4694" t="s">
        <v>769</v>
      </c>
      <c r="D2172" s="4694"/>
      <c r="E2172" s="3413">
        <f>SUM(E2173:E2187)</f>
        <v>139210</v>
      </c>
      <c r="F2172" s="3413">
        <f t="shared" ref="F2172:H2172" si="469">SUM(F2173:F2187)</f>
        <v>157697</v>
      </c>
      <c r="G2172" s="3419">
        <f t="shared" si="469"/>
        <v>191942</v>
      </c>
      <c r="H2172" s="3414">
        <f t="shared" si="469"/>
        <v>190315.87</v>
      </c>
      <c r="I2172" s="1783">
        <f t="shared" si="466"/>
        <v>0.99152801367079635</v>
      </c>
    </row>
    <row r="2173" spans="1:9" ht="26.25" customHeight="1">
      <c r="A2173" s="1614"/>
      <c r="B2173" s="1627"/>
      <c r="C2173" s="3359" t="s">
        <v>332</v>
      </c>
      <c r="D2173" s="3360" t="s">
        <v>770</v>
      </c>
      <c r="E2173" s="3399">
        <v>2900</v>
      </c>
      <c r="F2173" s="3399">
        <v>3386</v>
      </c>
      <c r="G2173" s="3314">
        <v>1512</v>
      </c>
      <c r="H2173" s="3401">
        <v>1511.44</v>
      </c>
      <c r="I2173" s="1769">
        <f t="shared" si="466"/>
        <v>0.99962962962962965</v>
      </c>
    </row>
    <row r="2174" spans="1:9" ht="15.75" customHeight="1">
      <c r="A2174" s="1614"/>
      <c r="B2174" s="1627"/>
      <c r="C2174" s="3359" t="s">
        <v>22</v>
      </c>
      <c r="D2174" s="3360" t="s">
        <v>771</v>
      </c>
      <c r="E2174" s="3399">
        <v>23899</v>
      </c>
      <c r="F2174" s="3399">
        <v>23086</v>
      </c>
      <c r="G2174" s="3314">
        <v>51628</v>
      </c>
      <c r="H2174" s="3401">
        <v>50425.52</v>
      </c>
      <c r="I2174" s="1769">
        <f t="shared" si="466"/>
        <v>0.97670876268691398</v>
      </c>
    </row>
    <row r="2175" spans="1:9" ht="15.75" customHeight="1">
      <c r="A2175" s="1614"/>
      <c r="B2175" s="1627"/>
      <c r="C2175" s="3359" t="s">
        <v>326</v>
      </c>
      <c r="D2175" s="3360" t="s">
        <v>772</v>
      </c>
      <c r="E2175" s="3399">
        <v>5500</v>
      </c>
      <c r="F2175" s="3399">
        <v>2500</v>
      </c>
      <c r="G2175" s="3314">
        <v>2500</v>
      </c>
      <c r="H2175" s="3401">
        <v>2474.23</v>
      </c>
      <c r="I2175" s="1769">
        <f t="shared" si="466"/>
        <v>0.98969200000000002</v>
      </c>
    </row>
    <row r="2176" spans="1:9" ht="15.75" customHeight="1">
      <c r="A2176" s="1614"/>
      <c r="B2176" s="1627"/>
      <c r="C2176" s="3359" t="s">
        <v>329</v>
      </c>
      <c r="D2176" s="3360" t="s">
        <v>945</v>
      </c>
      <c r="E2176" s="3399">
        <v>1500</v>
      </c>
      <c r="F2176" s="3399">
        <v>0</v>
      </c>
      <c r="G2176" s="3314">
        <v>4000</v>
      </c>
      <c r="H2176" s="3401">
        <v>3948.12</v>
      </c>
      <c r="I2176" s="1769">
        <f t="shared" si="466"/>
        <v>0.98702999999999996</v>
      </c>
    </row>
    <row r="2177" spans="1:9" ht="15.75" customHeight="1">
      <c r="A2177" s="1614"/>
      <c r="B2177" s="1627"/>
      <c r="C2177" s="3359" t="s">
        <v>316</v>
      </c>
      <c r="D2177" s="3360" t="s">
        <v>773</v>
      </c>
      <c r="E2177" s="3399">
        <v>11890</v>
      </c>
      <c r="F2177" s="3399">
        <v>20050</v>
      </c>
      <c r="G2177" s="3314">
        <v>22962</v>
      </c>
      <c r="H2177" s="3401">
        <v>22960.98</v>
      </c>
      <c r="I2177" s="1769">
        <f t="shared" si="466"/>
        <v>0.99995557878233599</v>
      </c>
    </row>
    <row r="2178" spans="1:9" ht="15.75" customHeight="1">
      <c r="A2178" s="1614"/>
      <c r="B2178" s="1627"/>
      <c r="C2178" s="3359" t="s">
        <v>87</v>
      </c>
      <c r="D2178" s="3360" t="s">
        <v>774</v>
      </c>
      <c r="E2178" s="3399">
        <v>5965</v>
      </c>
      <c r="F2178" s="3399">
        <v>7168</v>
      </c>
      <c r="G2178" s="3314">
        <v>3925</v>
      </c>
      <c r="H2178" s="3401">
        <v>3801.95</v>
      </c>
      <c r="I2178" s="1769">
        <f t="shared" si="466"/>
        <v>0.96864968152866238</v>
      </c>
    </row>
    <row r="2179" spans="1:9" ht="15.75" customHeight="1">
      <c r="A2179" s="1614"/>
      <c r="B2179" s="1627"/>
      <c r="C2179" s="3359" t="s">
        <v>317</v>
      </c>
      <c r="D2179" s="3360" t="s">
        <v>775</v>
      </c>
      <c r="E2179" s="3399">
        <v>500</v>
      </c>
      <c r="F2179" s="3399">
        <v>1050</v>
      </c>
      <c r="G2179" s="3314">
        <v>950</v>
      </c>
      <c r="H2179" s="3401">
        <v>874.82</v>
      </c>
      <c r="I2179" s="1769">
        <f t="shared" si="466"/>
        <v>0.92086315789473694</v>
      </c>
    </row>
    <row r="2180" spans="1:9" ht="15.75" customHeight="1">
      <c r="A2180" s="1614"/>
      <c r="B2180" s="1627"/>
      <c r="C2180" s="3359" t="s">
        <v>23</v>
      </c>
      <c r="D2180" s="3360" t="s">
        <v>776</v>
      </c>
      <c r="E2180" s="3399">
        <v>46804</v>
      </c>
      <c r="F2180" s="3399">
        <v>54054</v>
      </c>
      <c r="G2180" s="3314">
        <v>47585</v>
      </c>
      <c r="H2180" s="3401">
        <v>47572.76</v>
      </c>
      <c r="I2180" s="1769">
        <f t="shared" si="466"/>
        <v>0.9997427760849007</v>
      </c>
    </row>
    <row r="2181" spans="1:9" ht="15.75" customHeight="1">
      <c r="A2181" s="1614"/>
      <c r="B2181" s="1638"/>
      <c r="C2181" s="3359" t="s">
        <v>318</v>
      </c>
      <c r="D2181" s="3360" t="s">
        <v>946</v>
      </c>
      <c r="E2181" s="3399">
        <v>4536</v>
      </c>
      <c r="F2181" s="3399">
        <v>4481</v>
      </c>
      <c r="G2181" s="3314">
        <v>3880</v>
      </c>
      <c r="H2181" s="3401">
        <v>3845.41</v>
      </c>
      <c r="I2181" s="1769">
        <f t="shared" si="466"/>
        <v>0.9910850515463917</v>
      </c>
    </row>
    <row r="2182" spans="1:9" ht="15.75" customHeight="1">
      <c r="A2182" s="1614"/>
      <c r="B2182" s="1638"/>
      <c r="C2182" s="3367" t="s">
        <v>328</v>
      </c>
      <c r="D2182" s="3368" t="s">
        <v>781</v>
      </c>
      <c r="E2182" s="3399">
        <v>4500</v>
      </c>
      <c r="F2182" s="3399">
        <v>4000</v>
      </c>
      <c r="G2182" s="3314">
        <v>5852</v>
      </c>
      <c r="H2182" s="3401">
        <v>5787.74</v>
      </c>
      <c r="I2182" s="1769">
        <f t="shared" si="466"/>
        <v>0.9890191387559808</v>
      </c>
    </row>
    <row r="2183" spans="1:9" ht="15.75" customHeight="1">
      <c r="A2183" s="1614"/>
      <c r="B2183" s="1638"/>
      <c r="C2183" s="3420" t="s">
        <v>333</v>
      </c>
      <c r="D2183" s="3421" t="s">
        <v>782</v>
      </c>
      <c r="E2183" s="3399">
        <v>0</v>
      </c>
      <c r="F2183" s="3399">
        <v>0</v>
      </c>
      <c r="G2183" s="3314">
        <v>2900</v>
      </c>
      <c r="H2183" s="3401">
        <v>2893.49</v>
      </c>
      <c r="I2183" s="1769">
        <f t="shared" si="466"/>
        <v>0.99775517241379308</v>
      </c>
    </row>
    <row r="2184" spans="1:9" ht="15.75" customHeight="1">
      <c r="A2184" s="1638"/>
      <c r="B2184" s="1638"/>
      <c r="C2184" s="3422" t="s">
        <v>319</v>
      </c>
      <c r="D2184" s="3423" t="s">
        <v>783</v>
      </c>
      <c r="E2184" s="3424">
        <v>21986</v>
      </c>
      <c r="F2184" s="3424">
        <v>27748</v>
      </c>
      <c r="G2184" s="3307">
        <v>28847</v>
      </c>
      <c r="H2184" s="3425">
        <v>28819.34</v>
      </c>
      <c r="I2184" s="3378">
        <f t="shared" si="466"/>
        <v>0.99904114812632161</v>
      </c>
    </row>
    <row r="2185" spans="1:9" ht="15.75" customHeight="1">
      <c r="A2185" s="1638"/>
      <c r="B2185" s="1638"/>
      <c r="C2185" s="2089" t="s">
        <v>320</v>
      </c>
      <c r="D2185" s="2955" t="s">
        <v>784</v>
      </c>
      <c r="E2185" s="1661">
        <v>1722</v>
      </c>
      <c r="F2185" s="1661">
        <v>3655</v>
      </c>
      <c r="G2185" s="1881">
        <v>3445</v>
      </c>
      <c r="H2185" s="1663">
        <v>3444.2</v>
      </c>
      <c r="I2185" s="1769">
        <f t="shared" si="466"/>
        <v>0.99976777939042083</v>
      </c>
    </row>
    <row r="2186" spans="1:9" ht="15.75" customHeight="1">
      <c r="A2186" s="1614"/>
      <c r="B2186" s="1638"/>
      <c r="C2186" s="3426" t="s">
        <v>334</v>
      </c>
      <c r="D2186" s="3423" t="s">
        <v>1144</v>
      </c>
      <c r="E2186" s="3424">
        <v>4508</v>
      </c>
      <c r="F2186" s="3424">
        <v>3519</v>
      </c>
      <c r="G2186" s="3307">
        <v>3301</v>
      </c>
      <c r="H2186" s="3425">
        <v>3300.87</v>
      </c>
      <c r="I2186" s="1769">
        <f t="shared" si="466"/>
        <v>0.99996061799454705</v>
      </c>
    </row>
    <row r="2187" spans="1:9" ht="28.5" customHeight="1">
      <c r="A2187" s="1614"/>
      <c r="B2187" s="1638"/>
      <c r="C2187" s="3426" t="s">
        <v>64</v>
      </c>
      <c r="D2187" s="3423" t="s">
        <v>994</v>
      </c>
      <c r="E2187" s="3424">
        <v>3000</v>
      </c>
      <c r="F2187" s="3424">
        <v>3000</v>
      </c>
      <c r="G2187" s="3307">
        <v>8655</v>
      </c>
      <c r="H2187" s="3425">
        <v>8655</v>
      </c>
      <c r="I2187" s="1769">
        <f t="shared" si="466"/>
        <v>1</v>
      </c>
    </row>
    <row r="2188" spans="1:9" ht="15.75" customHeight="1">
      <c r="A2188" s="1614"/>
      <c r="B2188" s="1638"/>
      <c r="C2188" s="1688"/>
      <c r="D2188" s="1688"/>
      <c r="E2188" s="1638"/>
      <c r="F2188" s="1638"/>
      <c r="G2188" s="3307"/>
      <c r="H2188" s="3425"/>
      <c r="I2188" s="1769"/>
    </row>
    <row r="2189" spans="1:9" ht="15.75" customHeight="1">
      <c r="A2189" s="1614"/>
      <c r="B2189" s="1638"/>
      <c r="C2189" s="4695" t="s">
        <v>791</v>
      </c>
      <c r="D2189" s="4695"/>
      <c r="E2189" s="3399">
        <f t="shared" ref="E2189:H2189" si="470">E2190</f>
        <v>2860</v>
      </c>
      <c r="F2189" s="3399">
        <f t="shared" si="470"/>
        <v>3663</v>
      </c>
      <c r="G2189" s="3400">
        <f t="shared" si="470"/>
        <v>2074</v>
      </c>
      <c r="H2189" s="3401">
        <f t="shared" si="470"/>
        <v>2045.77</v>
      </c>
      <c r="I2189" s="1769">
        <f t="shared" si="466"/>
        <v>0.98638862102217939</v>
      </c>
    </row>
    <row r="2190" spans="1:9" ht="15.75" customHeight="1" thickBot="1">
      <c r="A2190" s="1645"/>
      <c r="B2190" s="2271"/>
      <c r="C2190" s="3332" t="s">
        <v>314</v>
      </c>
      <c r="D2190" s="3333" t="s">
        <v>792</v>
      </c>
      <c r="E2190" s="1678">
        <v>2860</v>
      </c>
      <c r="F2190" s="1678">
        <v>3663</v>
      </c>
      <c r="G2190" s="3427">
        <v>2074</v>
      </c>
      <c r="H2190" s="1747">
        <v>2045.77</v>
      </c>
      <c r="I2190" s="1651">
        <f t="shared" si="466"/>
        <v>0.98638862102217939</v>
      </c>
    </row>
    <row r="2191" spans="1:9" ht="15.75" customHeight="1" thickBot="1">
      <c r="A2191" s="1614"/>
      <c r="B2191" s="1794" t="s">
        <v>103</v>
      </c>
      <c r="C2191" s="1795"/>
      <c r="D2191" s="1796" t="s">
        <v>104</v>
      </c>
      <c r="E2191" s="1797">
        <f>E2192</f>
        <v>2761359</v>
      </c>
      <c r="F2191" s="1797">
        <f t="shared" ref="F2191:H2191" si="471">F2192</f>
        <v>3425391</v>
      </c>
      <c r="G2191" s="1934">
        <f t="shared" si="471"/>
        <v>3425718</v>
      </c>
      <c r="H2191" s="1935">
        <f t="shared" si="471"/>
        <v>3266577.81</v>
      </c>
      <c r="I2191" s="1936">
        <f t="shared" si="466"/>
        <v>0.95354544945030506</v>
      </c>
    </row>
    <row r="2192" spans="1:9" ht="15.75" customHeight="1">
      <c r="A2192" s="1614"/>
      <c r="B2192" s="1638"/>
      <c r="C2192" s="4633" t="s">
        <v>760</v>
      </c>
      <c r="D2192" s="4633"/>
      <c r="E2192" s="1615">
        <f>SUM(E2197,E2193)</f>
        <v>2761359</v>
      </c>
      <c r="F2192" s="1615">
        <f t="shared" ref="F2192:H2192" si="472">SUM(F2197,F2193)</f>
        <v>3425391</v>
      </c>
      <c r="G2192" s="1616">
        <f t="shared" si="472"/>
        <v>3425718</v>
      </c>
      <c r="H2192" s="1617">
        <f t="shared" si="472"/>
        <v>3266577.81</v>
      </c>
      <c r="I2192" s="1780">
        <f t="shared" si="466"/>
        <v>0.95354544945030506</v>
      </c>
    </row>
    <row r="2193" spans="1:9" ht="15.75" customHeight="1">
      <c r="A2193" s="1614"/>
      <c r="B2193" s="1638"/>
      <c r="C2193" s="4688" t="s">
        <v>761</v>
      </c>
      <c r="D2193" s="4688"/>
      <c r="E2193" s="3399">
        <f t="shared" ref="E2193:H2193" si="473">E2194</f>
        <v>1020</v>
      </c>
      <c r="F2193" s="3399">
        <f t="shared" si="473"/>
        <v>1040</v>
      </c>
      <c r="G2193" s="3400">
        <f t="shared" si="473"/>
        <v>1040</v>
      </c>
      <c r="H2193" s="3401">
        <f t="shared" si="473"/>
        <v>1040</v>
      </c>
      <c r="I2193" s="1769">
        <f t="shared" si="466"/>
        <v>1</v>
      </c>
    </row>
    <row r="2194" spans="1:9" ht="15.75" customHeight="1">
      <c r="A2194" s="1614"/>
      <c r="B2194" s="1638"/>
      <c r="C2194" s="4689" t="s">
        <v>769</v>
      </c>
      <c r="D2194" s="4689"/>
      <c r="E2194" s="3413">
        <f>SUM(E2195:E2195)</f>
        <v>1020</v>
      </c>
      <c r="F2194" s="3413">
        <f t="shared" ref="F2194:H2194" si="474">SUM(F2195:F2195)</f>
        <v>1040</v>
      </c>
      <c r="G2194" s="3419">
        <f t="shared" si="474"/>
        <v>1040</v>
      </c>
      <c r="H2194" s="3414">
        <f t="shared" si="474"/>
        <v>1040</v>
      </c>
      <c r="I2194" s="1783">
        <f t="shared" si="466"/>
        <v>1</v>
      </c>
    </row>
    <row r="2195" spans="1:9" ht="15.75" customHeight="1">
      <c r="A2195" s="1638"/>
      <c r="B2195" s="1638"/>
      <c r="C2195" s="3344" t="s">
        <v>22</v>
      </c>
      <c r="D2195" s="3345" t="s">
        <v>771</v>
      </c>
      <c r="E2195" s="3399">
        <v>1020</v>
      </c>
      <c r="F2195" s="3399">
        <v>1040</v>
      </c>
      <c r="G2195" s="3307">
        <v>1040</v>
      </c>
      <c r="H2195" s="3401">
        <v>1040</v>
      </c>
      <c r="I2195" s="1769">
        <f t="shared" si="466"/>
        <v>1</v>
      </c>
    </row>
    <row r="2196" spans="1:9">
      <c r="A2196" s="1638"/>
      <c r="B2196" s="1638"/>
      <c r="C2196" s="4597"/>
      <c r="D2196" s="4624"/>
      <c r="E2196" s="1661"/>
      <c r="F2196" s="1661"/>
      <c r="G2196" s="1881"/>
      <c r="H2196" s="1663"/>
      <c r="I2196" s="1769"/>
    </row>
    <row r="2197" spans="1:9" ht="16.5" customHeight="1">
      <c r="A2197" s="1614"/>
      <c r="B2197" s="1638"/>
      <c r="C2197" s="4690" t="s">
        <v>838</v>
      </c>
      <c r="D2197" s="4691"/>
      <c r="E2197" s="1661">
        <f>SUM(E2198:E2200)</f>
        <v>2760339</v>
      </c>
      <c r="F2197" s="1661">
        <f t="shared" ref="F2197:H2197" si="475">SUM(F2198:F2200)</f>
        <v>3424351</v>
      </c>
      <c r="G2197" s="1760">
        <f t="shared" si="475"/>
        <v>3424678</v>
      </c>
      <c r="H2197" s="1663">
        <f t="shared" si="475"/>
        <v>3265537.81</v>
      </c>
      <c r="I2197" s="1769">
        <f t="shared" si="466"/>
        <v>0.95353134221669889</v>
      </c>
    </row>
    <row r="2198" spans="1:9" ht="53.25" customHeight="1">
      <c r="A2198" s="1614"/>
      <c r="B2198" s="1638"/>
      <c r="C2198" s="3344" t="s">
        <v>44</v>
      </c>
      <c r="D2198" s="3345" t="s">
        <v>850</v>
      </c>
      <c r="E2198" s="3399">
        <v>2759640</v>
      </c>
      <c r="F2198" s="3399">
        <v>3424351</v>
      </c>
      <c r="G2198" s="3307">
        <v>3424351</v>
      </c>
      <c r="H2198" s="3401">
        <v>3265211.06</v>
      </c>
      <c r="I2198" s="1769">
        <f t="shared" si="466"/>
        <v>0.9535269778127301</v>
      </c>
    </row>
    <row r="2199" spans="1:9" ht="52.5" customHeight="1" thickBot="1">
      <c r="A2199" s="1614"/>
      <c r="B2199" s="1627"/>
      <c r="C2199" s="3428" t="s">
        <v>201</v>
      </c>
      <c r="D2199" s="3429" t="s">
        <v>422</v>
      </c>
      <c r="E2199" s="3394">
        <v>71</v>
      </c>
      <c r="F2199" s="3394">
        <v>0</v>
      </c>
      <c r="G2199" s="3307">
        <v>327</v>
      </c>
      <c r="H2199" s="3401">
        <v>326.75</v>
      </c>
      <c r="I2199" s="1769">
        <f t="shared" si="466"/>
        <v>0.99923547400611623</v>
      </c>
    </row>
    <row r="2200" spans="1:9" ht="13.5" hidden="1" thickBot="1">
      <c r="A2200" s="1614"/>
      <c r="B2200" s="1627"/>
      <c r="C2200" s="3428" t="s">
        <v>431</v>
      </c>
      <c r="D2200" s="3429" t="s">
        <v>1156</v>
      </c>
      <c r="E2200" s="3430">
        <v>628</v>
      </c>
      <c r="F2200" s="3394">
        <v>0</v>
      </c>
      <c r="G2200" s="3307"/>
      <c r="H2200" s="3358"/>
      <c r="I2200" s="1725" t="e">
        <f t="shared" si="466"/>
        <v>#DIV/0!</v>
      </c>
    </row>
    <row r="2201" spans="1:9" ht="16.5" customHeight="1" thickBot="1">
      <c r="A2201" s="3431" t="s">
        <v>55</v>
      </c>
      <c r="B2201" s="3432"/>
      <c r="C2201" s="3433"/>
      <c r="D2201" s="3434" t="s">
        <v>1157</v>
      </c>
      <c r="E2201" s="3435">
        <f>E2213+E2238+E2253+E2264+E2286+E2209+E2234+E2223+E2202+E2275</f>
        <v>1416541</v>
      </c>
      <c r="F2201" s="3436">
        <f>F2213+F2238+F2253+F2264+F2286+F2209+F2234+F2223+F2202+F2275+F2229</f>
        <v>864250</v>
      </c>
      <c r="G2201" s="3436">
        <f>G2213+G2238+G2253+G2264+G2286+G2209+G2234+G2223+G2202+G2275+G2229</f>
        <v>3523539</v>
      </c>
      <c r="H2201" s="3437">
        <f>H2213+H2238+H2253+H2264+H2286+H2209+H2234+H2223+H2202+H2275+H2229</f>
        <v>3462757.8600000003</v>
      </c>
      <c r="I2201" s="3438">
        <f t="shared" si="466"/>
        <v>0.98274997381893614</v>
      </c>
    </row>
    <row r="2202" spans="1:9" ht="17.100000000000001" hidden="1" customHeight="1" thickBot="1">
      <c r="A2202" s="1614"/>
      <c r="B2202" s="3439" t="s">
        <v>1158</v>
      </c>
      <c r="C2202" s="3440"/>
      <c r="D2202" s="3441" t="s">
        <v>1159</v>
      </c>
      <c r="E2202" s="3442">
        <f>E2203</f>
        <v>0</v>
      </c>
      <c r="F2202" s="3443">
        <f t="shared" ref="F2202:H2202" si="476">F2203</f>
        <v>0</v>
      </c>
      <c r="G2202" s="3442">
        <f t="shared" si="476"/>
        <v>0</v>
      </c>
      <c r="H2202" s="3444">
        <f t="shared" si="476"/>
        <v>0</v>
      </c>
      <c r="I2202" s="1769" t="e">
        <f t="shared" si="466"/>
        <v>#DIV/0!</v>
      </c>
    </row>
    <row r="2203" spans="1:9" ht="17.100000000000001" hidden="1" customHeight="1">
      <c r="A2203" s="1614"/>
      <c r="B2203" s="1627"/>
      <c r="C2203" s="4610" t="s">
        <v>760</v>
      </c>
      <c r="D2203" s="4650"/>
      <c r="E2203" s="1616">
        <f>E2204+E2220</f>
        <v>0</v>
      </c>
      <c r="F2203" s="1616">
        <f>F2204+F2220</f>
        <v>0</v>
      </c>
      <c r="G2203" s="1616">
        <f t="shared" ref="G2203:H2203" si="477">G2204+G2220</f>
        <v>0</v>
      </c>
      <c r="H2203" s="1617">
        <f t="shared" si="477"/>
        <v>0</v>
      </c>
      <c r="I2203" s="1769" t="e">
        <f t="shared" si="466"/>
        <v>#DIV/0!</v>
      </c>
    </row>
    <row r="2204" spans="1:9" ht="17.100000000000001" hidden="1" customHeight="1">
      <c r="A2204" s="1614"/>
      <c r="B2204" s="1627"/>
      <c r="C2204" s="4672" t="s">
        <v>761</v>
      </c>
      <c r="D2204" s="4672"/>
      <c r="E2204" s="3400">
        <f>E2205</f>
        <v>0</v>
      </c>
      <c r="F2204" s="3400">
        <f>F2205</f>
        <v>0</v>
      </c>
      <c r="G2204" s="3400">
        <f t="shared" ref="G2204:H2204" si="478">G2205</f>
        <v>0</v>
      </c>
      <c r="H2204" s="3358">
        <f t="shared" si="478"/>
        <v>0</v>
      </c>
      <c r="I2204" s="1769" t="e">
        <f t="shared" si="466"/>
        <v>#DIV/0!</v>
      </c>
    </row>
    <row r="2205" spans="1:9" ht="17.100000000000001" hidden="1" customHeight="1">
      <c r="A2205" s="1614"/>
      <c r="B2205" s="1627"/>
      <c r="C2205" s="4618" t="s">
        <v>762</v>
      </c>
      <c r="D2205" s="4618"/>
      <c r="E2205" s="3400">
        <f>SUM(E2206:E2208)</f>
        <v>0</v>
      </c>
      <c r="F2205" s="3400">
        <f>SUM(F2206:F2208)</f>
        <v>0</v>
      </c>
      <c r="G2205" s="3400">
        <f t="shared" ref="G2205:H2205" si="479">SUM(G2206:G2208)</f>
        <v>0</v>
      </c>
      <c r="H2205" s="3358">
        <f t="shared" si="479"/>
        <v>0</v>
      </c>
      <c r="I2205" s="1769" t="e">
        <f t="shared" si="466"/>
        <v>#DIV/0!</v>
      </c>
    </row>
    <row r="2206" spans="1:9" ht="17.100000000000001" hidden="1" customHeight="1">
      <c r="A2206" s="1614"/>
      <c r="B2206" s="1627"/>
      <c r="C2206" s="3445" t="s">
        <v>61</v>
      </c>
      <c r="D2206" s="3446" t="s">
        <v>763</v>
      </c>
      <c r="E2206" s="3400">
        <v>0</v>
      </c>
      <c r="F2206" s="3357">
        <v>0</v>
      </c>
      <c r="G2206" s="3400">
        <v>0</v>
      </c>
      <c r="H2206" s="3358">
        <v>0</v>
      </c>
      <c r="I2206" s="1769" t="e">
        <f t="shared" si="466"/>
        <v>#DIV/0!</v>
      </c>
    </row>
    <row r="2207" spans="1:9" ht="17.100000000000001" hidden="1" customHeight="1">
      <c r="A2207" s="1614"/>
      <c r="B2207" s="1627"/>
      <c r="C2207" s="3445" t="s">
        <v>62</v>
      </c>
      <c r="D2207" s="3446" t="s">
        <v>765</v>
      </c>
      <c r="E2207" s="3400">
        <v>0</v>
      </c>
      <c r="F2207" s="3357">
        <v>0</v>
      </c>
      <c r="G2207" s="3400">
        <v>0</v>
      </c>
      <c r="H2207" s="3358">
        <v>0</v>
      </c>
      <c r="I2207" s="1769" t="e">
        <f t="shared" si="466"/>
        <v>#DIV/0!</v>
      </c>
    </row>
    <row r="2208" spans="1:9" ht="17.100000000000001" hidden="1" customHeight="1" thickBot="1">
      <c r="A2208" s="1614"/>
      <c r="B2208" s="1627"/>
      <c r="C2208" s="3445" t="s">
        <v>63</v>
      </c>
      <c r="D2208" s="3446" t="s">
        <v>798</v>
      </c>
      <c r="E2208" s="3400">
        <v>0</v>
      </c>
      <c r="F2208" s="3357">
        <v>0</v>
      </c>
      <c r="G2208" s="3400">
        <v>0</v>
      </c>
      <c r="H2208" s="3358">
        <v>0</v>
      </c>
      <c r="I2208" s="1769" t="e">
        <f t="shared" si="466"/>
        <v>#DIV/0!</v>
      </c>
    </row>
    <row r="2209" spans="1:9" ht="17.100000000000001" hidden="1" customHeight="1" thickBot="1">
      <c r="A2209" s="2202"/>
      <c r="B2209" s="3439" t="s">
        <v>1160</v>
      </c>
      <c r="C2209" s="3440"/>
      <c r="D2209" s="3441" t="s">
        <v>1161</v>
      </c>
      <c r="E2209" s="3447">
        <f>E2210</f>
        <v>0</v>
      </c>
      <c r="F2209" s="3447">
        <f t="shared" ref="F2209:H2211" si="480">F2210</f>
        <v>0</v>
      </c>
      <c r="G2209" s="3448">
        <f t="shared" si="480"/>
        <v>0</v>
      </c>
      <c r="H2209" s="3449">
        <f t="shared" si="480"/>
        <v>0</v>
      </c>
      <c r="I2209" s="1769" t="e">
        <f t="shared" si="466"/>
        <v>#DIV/0!</v>
      </c>
    </row>
    <row r="2210" spans="1:9" ht="17.100000000000001" hidden="1" customHeight="1">
      <c r="A2210" s="2202"/>
      <c r="B2210" s="4627"/>
      <c r="C2210" s="4633" t="s">
        <v>760</v>
      </c>
      <c r="D2210" s="4633"/>
      <c r="E2210" s="2644">
        <f>E2211</f>
        <v>0</v>
      </c>
      <c r="F2210" s="2644">
        <f t="shared" si="480"/>
        <v>0</v>
      </c>
      <c r="G2210" s="2645">
        <f t="shared" si="480"/>
        <v>0</v>
      </c>
      <c r="H2210" s="1617">
        <f t="shared" si="480"/>
        <v>0</v>
      </c>
      <c r="I2210" s="1769" t="e">
        <f t="shared" si="466"/>
        <v>#DIV/0!</v>
      </c>
    </row>
    <row r="2211" spans="1:9" ht="0.75" hidden="1" customHeight="1" thickBot="1">
      <c r="A2211" s="2202"/>
      <c r="B2211" s="4686"/>
      <c r="C2211" s="4676" t="s">
        <v>838</v>
      </c>
      <c r="D2211" s="4676"/>
      <c r="E2211" s="3450">
        <f>E2212</f>
        <v>0</v>
      </c>
      <c r="F2211" s="3450">
        <f t="shared" si="480"/>
        <v>0</v>
      </c>
      <c r="G2211" s="3451">
        <f t="shared" si="480"/>
        <v>0</v>
      </c>
      <c r="H2211" s="3395">
        <f t="shared" si="480"/>
        <v>0</v>
      </c>
      <c r="I2211" s="1769" t="e">
        <f t="shared" si="466"/>
        <v>#DIV/0!</v>
      </c>
    </row>
    <row r="2212" spans="1:9" ht="39" hidden="1" thickBot="1">
      <c r="A2212" s="2202"/>
      <c r="B2212" s="4629"/>
      <c r="C2212" s="3445" t="s">
        <v>86</v>
      </c>
      <c r="D2212" s="3446" t="s">
        <v>941</v>
      </c>
      <c r="E2212" s="3452"/>
      <c r="F2212" s="3452">
        <v>0</v>
      </c>
      <c r="G2212" s="3453"/>
      <c r="H2212" s="2215"/>
      <c r="I2212" s="1725" t="e">
        <f t="shared" si="466"/>
        <v>#DIV/0!</v>
      </c>
    </row>
    <row r="2213" spans="1:9" ht="17.100000000000001" customHeight="1" thickBot="1">
      <c r="A2213" s="3454"/>
      <c r="B2213" s="3455" t="s">
        <v>1162</v>
      </c>
      <c r="C2213" s="3440"/>
      <c r="D2213" s="3441" t="s">
        <v>1163</v>
      </c>
      <c r="E2213" s="3447">
        <f t="shared" ref="E2213:H2213" si="481">SUM(E2214)</f>
        <v>439915</v>
      </c>
      <c r="F2213" s="3447">
        <f t="shared" si="481"/>
        <v>181100</v>
      </c>
      <c r="G2213" s="3448">
        <f t="shared" si="481"/>
        <v>173386</v>
      </c>
      <c r="H2213" s="3456">
        <f t="shared" si="481"/>
        <v>171412.4</v>
      </c>
      <c r="I2213" s="3457">
        <f t="shared" si="466"/>
        <v>0.9886173047420207</v>
      </c>
    </row>
    <row r="2214" spans="1:9" ht="17.100000000000001" customHeight="1">
      <c r="A2214" s="1614"/>
      <c r="B2214" s="4687"/>
      <c r="C2214" s="4633" t="s">
        <v>760</v>
      </c>
      <c r="D2214" s="4633"/>
      <c r="E2214" s="2644">
        <f>E2215+E2221</f>
        <v>439915</v>
      </c>
      <c r="F2214" s="2644">
        <f t="shared" ref="F2214:H2214" si="482">F2215+F2221</f>
        <v>181100</v>
      </c>
      <c r="G2214" s="2645">
        <f t="shared" si="482"/>
        <v>173386</v>
      </c>
      <c r="H2214" s="1617">
        <f t="shared" si="482"/>
        <v>171412.4</v>
      </c>
      <c r="I2214" s="1780">
        <f t="shared" si="466"/>
        <v>0.9886173047420207</v>
      </c>
    </row>
    <row r="2215" spans="1:9" ht="17.100000000000001" customHeight="1">
      <c r="A2215" s="1614"/>
      <c r="B2215" s="4687"/>
      <c r="C2215" s="4672" t="s">
        <v>761</v>
      </c>
      <c r="D2215" s="4672"/>
      <c r="E2215" s="3458">
        <f t="shared" ref="E2215:H2215" si="483">E2216</f>
        <v>434915</v>
      </c>
      <c r="F2215" s="3458">
        <f t="shared" si="483"/>
        <v>174100</v>
      </c>
      <c r="G2215" s="3459">
        <f t="shared" si="483"/>
        <v>166386</v>
      </c>
      <c r="H2215" s="3358">
        <f t="shared" si="483"/>
        <v>164412.4</v>
      </c>
      <c r="I2215" s="1769">
        <f t="shared" si="466"/>
        <v>0.98813842510788163</v>
      </c>
    </row>
    <row r="2216" spans="1:9" ht="17.100000000000001" customHeight="1">
      <c r="A2216" s="1614"/>
      <c r="B2216" s="4687"/>
      <c r="C2216" s="4673" t="s">
        <v>769</v>
      </c>
      <c r="D2216" s="4673"/>
      <c r="E2216" s="3460">
        <f>SUM(E2217:E2219)</f>
        <v>434915</v>
      </c>
      <c r="F2216" s="3460">
        <f>SUM(F2217:F2219)</f>
        <v>174100</v>
      </c>
      <c r="G2216" s="3460">
        <f t="shared" ref="G2216:H2216" si="484">SUM(G2217:G2219)</f>
        <v>166386</v>
      </c>
      <c r="H2216" s="3461">
        <f t="shared" si="484"/>
        <v>164412.4</v>
      </c>
      <c r="I2216" s="1769">
        <f t="shared" si="466"/>
        <v>0.98813842510788163</v>
      </c>
    </row>
    <row r="2217" spans="1:9" ht="17.100000000000001" customHeight="1">
      <c r="A2217" s="1614"/>
      <c r="B2217" s="4687"/>
      <c r="C2217" s="3462" t="s">
        <v>22</v>
      </c>
      <c r="D2217" s="3463" t="s">
        <v>771</v>
      </c>
      <c r="E2217" s="3458">
        <v>10000</v>
      </c>
      <c r="F2217" s="3458">
        <v>10000</v>
      </c>
      <c r="G2217" s="3464">
        <v>12000</v>
      </c>
      <c r="H2217" s="3358">
        <v>12000</v>
      </c>
      <c r="I2217" s="1769">
        <f t="shared" si="466"/>
        <v>1</v>
      </c>
    </row>
    <row r="2218" spans="1:9" ht="17.100000000000001" customHeight="1">
      <c r="A2218" s="1614"/>
      <c r="B2218" s="4687"/>
      <c r="C2218" s="3445" t="s">
        <v>23</v>
      </c>
      <c r="D2218" s="3446" t="s">
        <v>776</v>
      </c>
      <c r="E2218" s="3458">
        <v>414915</v>
      </c>
      <c r="F2218" s="3458">
        <v>155100</v>
      </c>
      <c r="G2218" s="3464">
        <v>154386</v>
      </c>
      <c r="H2218" s="3358">
        <f>152524-111.6</f>
        <v>152412.4</v>
      </c>
      <c r="I2218" s="1769">
        <f t="shared" si="466"/>
        <v>0.98721645745080511</v>
      </c>
    </row>
    <row r="2219" spans="1:9" ht="17.100000000000001" customHeight="1">
      <c r="A2219" s="1614"/>
      <c r="B2219" s="1684"/>
      <c r="C2219" s="3462" t="s">
        <v>327</v>
      </c>
      <c r="D2219" s="3463" t="s">
        <v>778</v>
      </c>
      <c r="E2219" s="3458">
        <v>10000</v>
      </c>
      <c r="F2219" s="3458">
        <v>9000</v>
      </c>
      <c r="G2219" s="3464">
        <v>0</v>
      </c>
      <c r="H2219" s="3358">
        <v>0</v>
      </c>
      <c r="I2219" s="1769"/>
    </row>
    <row r="2220" spans="1:9" ht="17.100000000000001" customHeight="1">
      <c r="A2220" s="1638"/>
      <c r="B2220" s="1779"/>
      <c r="C2220" s="3465"/>
      <c r="D2220" s="3466"/>
      <c r="E2220" s="3458"/>
      <c r="F2220" s="3458"/>
      <c r="G2220" s="3410"/>
      <c r="H2220" s="3358"/>
      <c r="I2220" s="1769"/>
    </row>
    <row r="2221" spans="1:9" ht="16.5" customHeight="1">
      <c r="A2221" s="1638"/>
      <c r="B2221" s="1779"/>
      <c r="C2221" s="4683" t="s">
        <v>838</v>
      </c>
      <c r="D2221" s="4683"/>
      <c r="E2221" s="3467">
        <f>E2222</f>
        <v>5000</v>
      </c>
      <c r="F2221" s="3467">
        <f t="shared" ref="F2221:H2221" si="485">F2222</f>
        <v>7000</v>
      </c>
      <c r="G2221" s="3468">
        <f t="shared" si="485"/>
        <v>7000</v>
      </c>
      <c r="H2221" s="3469">
        <f t="shared" si="485"/>
        <v>7000</v>
      </c>
      <c r="I2221" s="1769">
        <f t="shared" si="466"/>
        <v>1</v>
      </c>
    </row>
    <row r="2222" spans="1:9" ht="53.25" customHeight="1" thickBot="1">
      <c r="A2222" s="1645"/>
      <c r="B2222" s="1849"/>
      <c r="C2222" s="3470" t="s">
        <v>44</v>
      </c>
      <c r="D2222" s="3471" t="s">
        <v>850</v>
      </c>
      <c r="E2222" s="2648">
        <v>5000</v>
      </c>
      <c r="F2222" s="2648">
        <v>7000</v>
      </c>
      <c r="G2222" s="3390">
        <v>7000</v>
      </c>
      <c r="H2222" s="1747">
        <v>7000</v>
      </c>
      <c r="I2222" s="1651">
        <f t="shared" si="466"/>
        <v>1</v>
      </c>
    </row>
    <row r="2223" spans="1:9" ht="16.5" customHeight="1" thickBot="1">
      <c r="A2223" s="3472"/>
      <c r="B2223" s="1794" t="s">
        <v>1164</v>
      </c>
      <c r="C2223" s="1795"/>
      <c r="D2223" s="1796" t="s">
        <v>1165</v>
      </c>
      <c r="E2223" s="3473">
        <f t="shared" ref="E2223:H2225" si="486">E2224</f>
        <v>88850</v>
      </c>
      <c r="F2223" s="3473">
        <f t="shared" si="486"/>
        <v>5000</v>
      </c>
      <c r="G2223" s="3474">
        <f t="shared" si="486"/>
        <v>0</v>
      </c>
      <c r="H2223" s="2626">
        <f t="shared" si="486"/>
        <v>0</v>
      </c>
      <c r="I2223" s="1936"/>
    </row>
    <row r="2224" spans="1:9" ht="17.25" customHeight="1">
      <c r="A2224" s="3475"/>
      <c r="B2224" s="3476"/>
      <c r="C2224" s="4633" t="s">
        <v>760</v>
      </c>
      <c r="D2224" s="4633"/>
      <c r="E2224" s="2651">
        <f t="shared" si="486"/>
        <v>88850</v>
      </c>
      <c r="F2224" s="2651">
        <f t="shared" si="486"/>
        <v>5000</v>
      </c>
      <c r="G2224" s="3477">
        <f t="shared" si="486"/>
        <v>0</v>
      </c>
      <c r="H2224" s="1910">
        <f t="shared" si="486"/>
        <v>0</v>
      </c>
      <c r="I2224" s="1780"/>
    </row>
    <row r="2225" spans="1:9" ht="17.25" customHeight="1">
      <c r="A2225" s="1614"/>
      <c r="B2225" s="1684"/>
      <c r="C2225" s="4672" t="s">
        <v>761</v>
      </c>
      <c r="D2225" s="4672"/>
      <c r="E2225" s="3478">
        <f t="shared" si="486"/>
        <v>88850</v>
      </c>
      <c r="F2225" s="3478">
        <f t="shared" si="486"/>
        <v>5000</v>
      </c>
      <c r="G2225" s="3479">
        <f t="shared" si="486"/>
        <v>0</v>
      </c>
      <c r="H2225" s="3480">
        <f t="shared" si="486"/>
        <v>0</v>
      </c>
      <c r="I2225" s="1769"/>
    </row>
    <row r="2226" spans="1:9" ht="18.75" customHeight="1">
      <c r="A2226" s="1614"/>
      <c r="B2226" s="1684"/>
      <c r="C2226" s="4673" t="s">
        <v>769</v>
      </c>
      <c r="D2226" s="4673"/>
      <c r="E2226" s="3478">
        <f>E2227+E2228</f>
        <v>88850</v>
      </c>
      <c r="F2226" s="3478">
        <f>F2227+F2228</f>
        <v>5000</v>
      </c>
      <c r="G2226" s="3479">
        <f t="shared" ref="G2226:H2226" si="487">G2227+G2228</f>
        <v>0</v>
      </c>
      <c r="H2226" s="3480">
        <f t="shared" si="487"/>
        <v>0</v>
      </c>
      <c r="I2226" s="1769"/>
    </row>
    <row r="2227" spans="1:9" ht="16.5" hidden="1" customHeight="1">
      <c r="A2227" s="1614"/>
      <c r="B2227" s="1684"/>
      <c r="C2227" s="3462" t="s">
        <v>23</v>
      </c>
      <c r="D2227" s="3463" t="s">
        <v>776</v>
      </c>
      <c r="E2227" s="3478">
        <v>73185</v>
      </c>
      <c r="F2227" s="3478">
        <v>0</v>
      </c>
      <c r="G2227" s="3410"/>
      <c r="H2227" s="3358"/>
      <c r="I2227" s="1769"/>
    </row>
    <row r="2228" spans="1:9" ht="15.75" customHeight="1" thickBot="1">
      <c r="A2228" s="1614"/>
      <c r="B2228" s="1684"/>
      <c r="C2228" s="3481" t="s">
        <v>327</v>
      </c>
      <c r="D2228" s="2122" t="s">
        <v>778</v>
      </c>
      <c r="E2228" s="2648">
        <v>15665</v>
      </c>
      <c r="F2228" s="3478">
        <v>5000</v>
      </c>
      <c r="G2228" s="3298">
        <v>0</v>
      </c>
      <c r="H2228" s="3480">
        <v>0</v>
      </c>
      <c r="I2228" s="1725"/>
    </row>
    <row r="2229" spans="1:9" ht="16.5" customHeight="1" thickBot="1">
      <c r="A2229" s="3454"/>
      <c r="B2229" s="3439" t="s">
        <v>1166</v>
      </c>
      <c r="C2229" s="3440"/>
      <c r="D2229" s="3482" t="s">
        <v>1167</v>
      </c>
      <c r="E2229" s="3483" t="e">
        <f t="shared" ref="E2229:H2230" si="488">E2230</f>
        <v>#REF!</v>
      </c>
      <c r="F2229" s="3484">
        <f t="shared" si="488"/>
        <v>0</v>
      </c>
      <c r="G2229" s="3485">
        <f t="shared" si="488"/>
        <v>430500</v>
      </c>
      <c r="H2229" s="3486">
        <f t="shared" si="488"/>
        <v>430500</v>
      </c>
      <c r="I2229" s="3487">
        <f t="shared" ref="I2229:I2302" si="489">H2229/G2229</f>
        <v>1</v>
      </c>
    </row>
    <row r="2230" spans="1:9" ht="17.25" customHeight="1">
      <c r="A2230" s="1614"/>
      <c r="B2230" s="1684"/>
      <c r="C2230" s="4633" t="s">
        <v>760</v>
      </c>
      <c r="D2230" s="4633"/>
      <c r="E2230" s="2651" t="e">
        <f>#REF!</f>
        <v>#REF!</v>
      </c>
      <c r="F2230" s="2651">
        <f>F2231</f>
        <v>0</v>
      </c>
      <c r="G2230" s="2651">
        <f t="shared" si="488"/>
        <v>430500</v>
      </c>
      <c r="H2230" s="2652">
        <f t="shared" si="488"/>
        <v>430500</v>
      </c>
      <c r="I2230" s="1780">
        <f t="shared" si="489"/>
        <v>1</v>
      </c>
    </row>
    <row r="2231" spans="1:9" ht="18.75" customHeight="1">
      <c r="A2231" s="3488"/>
      <c r="B2231" s="3489"/>
      <c r="C2231" s="4684" t="s">
        <v>803</v>
      </c>
      <c r="D2231" s="4685"/>
      <c r="E2231" s="3458">
        <f>E2232+E2233</f>
        <v>88850</v>
      </c>
      <c r="F2231" s="3458">
        <f>F2232+F2233</f>
        <v>0</v>
      </c>
      <c r="G2231" s="3459">
        <f>G2232+G2233</f>
        <v>430500</v>
      </c>
      <c r="H2231" s="3358">
        <f t="shared" ref="H2231" si="490">H2232+H2233</f>
        <v>430500</v>
      </c>
      <c r="I2231" s="1769">
        <f t="shared" si="489"/>
        <v>1</v>
      </c>
    </row>
    <row r="2232" spans="1:9" ht="16.5" hidden="1" customHeight="1" thickBot="1">
      <c r="A2232" s="3488"/>
      <c r="B2232" s="3489"/>
      <c r="C2232" s="2227" t="s">
        <v>23</v>
      </c>
      <c r="D2232" s="2805" t="s">
        <v>776</v>
      </c>
      <c r="E2232" s="3467">
        <v>73185</v>
      </c>
      <c r="F2232" s="3467">
        <v>0</v>
      </c>
      <c r="G2232" s="1881"/>
      <c r="H2232" s="1663"/>
      <c r="I2232" s="1769" t="e">
        <f t="shared" si="489"/>
        <v>#DIV/0!</v>
      </c>
    </row>
    <row r="2233" spans="1:9" ht="15.75" customHeight="1" thickBot="1">
      <c r="A2233" s="3488"/>
      <c r="B2233" s="1791"/>
      <c r="C2233" s="3490" t="s">
        <v>864</v>
      </c>
      <c r="D2233" s="2122" t="s">
        <v>776</v>
      </c>
      <c r="E2233" s="2648">
        <v>15665</v>
      </c>
      <c r="F2233" s="2648">
        <v>0</v>
      </c>
      <c r="G2233" s="3464">
        <v>430500</v>
      </c>
      <c r="H2233" s="3358">
        <v>430500</v>
      </c>
      <c r="I2233" s="1725">
        <f t="shared" si="489"/>
        <v>1</v>
      </c>
    </row>
    <row r="2234" spans="1:9" ht="17.25" hidden="1" customHeight="1" thickBot="1">
      <c r="A2234" s="3475"/>
      <c r="B2234" s="3491" t="s">
        <v>1168</v>
      </c>
      <c r="C2234" s="3440"/>
      <c r="D2234" s="3441" t="s">
        <v>1169</v>
      </c>
      <c r="E2234" s="3492">
        <f>E2235</f>
        <v>0</v>
      </c>
      <c r="F2234" s="3492">
        <f t="shared" ref="F2234:H2236" si="491">F2235</f>
        <v>0</v>
      </c>
      <c r="G2234" s="3492">
        <f t="shared" si="491"/>
        <v>0</v>
      </c>
      <c r="H2234" s="3493">
        <f t="shared" si="491"/>
        <v>0</v>
      </c>
      <c r="I2234" s="3494"/>
    </row>
    <row r="2235" spans="1:9" ht="15.75" hidden="1" customHeight="1">
      <c r="A2235" s="3475"/>
      <c r="B2235" s="4627"/>
      <c r="C2235" s="4633" t="s">
        <v>793</v>
      </c>
      <c r="D2235" s="4633"/>
      <c r="E2235" s="2644">
        <f>E2236</f>
        <v>0</v>
      </c>
      <c r="F2235" s="2644">
        <f t="shared" si="491"/>
        <v>0</v>
      </c>
      <c r="G2235" s="2644">
        <f t="shared" si="491"/>
        <v>0</v>
      </c>
      <c r="H2235" s="2658">
        <f t="shared" si="491"/>
        <v>0</v>
      </c>
      <c r="I2235" s="1780"/>
    </row>
    <row r="2236" spans="1:9" ht="15.75" hidden="1" customHeight="1">
      <c r="A2236" s="3475"/>
      <c r="B2236" s="4628"/>
      <c r="C2236" s="4676" t="s">
        <v>794</v>
      </c>
      <c r="D2236" s="4676"/>
      <c r="E2236" s="3478">
        <f>E2237</f>
        <v>0</v>
      </c>
      <c r="F2236" s="3478">
        <f t="shared" si="491"/>
        <v>0</v>
      </c>
      <c r="G2236" s="3478">
        <f t="shared" si="491"/>
        <v>0</v>
      </c>
      <c r="H2236" s="3495">
        <f t="shared" si="491"/>
        <v>0</v>
      </c>
      <c r="I2236" s="1769"/>
    </row>
    <row r="2237" spans="1:9" ht="39" hidden="1" thickBot="1">
      <c r="A2237" s="3496"/>
      <c r="B2237" s="4629"/>
      <c r="C2237" s="3415" t="s">
        <v>88</v>
      </c>
      <c r="D2237" s="3405" t="s">
        <v>909</v>
      </c>
      <c r="E2237" s="3452"/>
      <c r="F2237" s="3452">
        <v>0</v>
      </c>
      <c r="G2237" s="3497">
        <v>0</v>
      </c>
      <c r="H2237" s="1747">
        <v>0</v>
      </c>
      <c r="I2237" s="1651"/>
    </row>
    <row r="2238" spans="1:9" ht="33.75" customHeight="1" thickBot="1">
      <c r="A2238" s="3475"/>
      <c r="B2238" s="3491" t="s">
        <v>58</v>
      </c>
      <c r="C2238" s="1980"/>
      <c r="D2238" s="3498" t="s">
        <v>59</v>
      </c>
      <c r="E2238" s="3499">
        <f>E2239+E2250</f>
        <v>413973</v>
      </c>
      <c r="F2238" s="3499">
        <f t="shared" ref="F2238:H2238" si="492">F2239+F2250</f>
        <v>350000</v>
      </c>
      <c r="G2238" s="3500">
        <f t="shared" si="492"/>
        <v>455268</v>
      </c>
      <c r="H2238" s="3501">
        <f t="shared" si="492"/>
        <v>444576.6</v>
      </c>
      <c r="I2238" s="3494">
        <f t="shared" si="489"/>
        <v>0.97651624976936657</v>
      </c>
    </row>
    <row r="2239" spans="1:9" ht="17.100000000000001" customHeight="1">
      <c r="A2239" s="3475"/>
      <c r="B2239" s="4640"/>
      <c r="C2239" s="4633" t="s">
        <v>760</v>
      </c>
      <c r="D2239" s="4633"/>
      <c r="E2239" s="2644">
        <f t="shared" ref="E2239:H2239" si="493">SUM(E2240)</f>
        <v>413973</v>
      </c>
      <c r="F2239" s="2644">
        <f t="shared" si="493"/>
        <v>350000</v>
      </c>
      <c r="G2239" s="2645">
        <f t="shared" si="493"/>
        <v>455268</v>
      </c>
      <c r="H2239" s="1617">
        <f t="shared" si="493"/>
        <v>444576.6</v>
      </c>
      <c r="I2239" s="1780">
        <f t="shared" si="489"/>
        <v>0.97651624976936657</v>
      </c>
    </row>
    <row r="2240" spans="1:9" ht="17.100000000000001" customHeight="1">
      <c r="A2240" s="3475"/>
      <c r="B2240" s="4640"/>
      <c r="C2240" s="4672" t="s">
        <v>761</v>
      </c>
      <c r="D2240" s="4672"/>
      <c r="E2240" s="3458">
        <f>SUM(E2241,E2246)</f>
        <v>413973</v>
      </c>
      <c r="F2240" s="3458">
        <f t="shared" ref="F2240:H2240" si="494">SUM(F2241,F2246)</f>
        <v>350000</v>
      </c>
      <c r="G2240" s="3459">
        <f t="shared" si="494"/>
        <v>455268</v>
      </c>
      <c r="H2240" s="3358">
        <f t="shared" si="494"/>
        <v>444576.6</v>
      </c>
      <c r="I2240" s="1769">
        <f t="shared" si="489"/>
        <v>0.97651624976936657</v>
      </c>
    </row>
    <row r="2241" spans="1:9" ht="17.100000000000001" customHeight="1">
      <c r="A2241" s="3475"/>
      <c r="B2241" s="4640"/>
      <c r="C2241" s="4618" t="s">
        <v>762</v>
      </c>
      <c r="D2241" s="4618"/>
      <c r="E2241" s="3460">
        <f>SUM(E2242:E2244)</f>
        <v>398973</v>
      </c>
      <c r="F2241" s="3460">
        <f t="shared" ref="F2241:H2241" si="495">SUM(F2242:F2244)</f>
        <v>311000</v>
      </c>
      <c r="G2241" s="3502">
        <f t="shared" si="495"/>
        <v>416268</v>
      </c>
      <c r="H2241" s="3503">
        <f t="shared" si="495"/>
        <v>416268</v>
      </c>
      <c r="I2241" s="1783">
        <f t="shared" si="489"/>
        <v>1</v>
      </c>
    </row>
    <row r="2242" spans="1:9" ht="17.100000000000001" customHeight="1">
      <c r="A2242" s="3475"/>
      <c r="B2242" s="4640"/>
      <c r="C2242" s="3504" t="s">
        <v>61</v>
      </c>
      <c r="D2242" s="3505" t="s">
        <v>763</v>
      </c>
      <c r="E2242" s="3458">
        <v>333033</v>
      </c>
      <c r="F2242" s="3458">
        <v>259946</v>
      </c>
      <c r="G2242" s="3464">
        <v>347933</v>
      </c>
      <c r="H2242" s="3358">
        <v>347933</v>
      </c>
      <c r="I2242" s="1769">
        <f t="shared" si="489"/>
        <v>1</v>
      </c>
    </row>
    <row r="2243" spans="1:9" ht="17.100000000000001" customHeight="1">
      <c r="A2243" s="3475"/>
      <c r="B2243" s="4640"/>
      <c r="C2243" s="3445" t="s">
        <v>62</v>
      </c>
      <c r="D2243" s="3446" t="s">
        <v>765</v>
      </c>
      <c r="E2243" s="3458">
        <v>57780</v>
      </c>
      <c r="F2243" s="3458">
        <v>44685</v>
      </c>
      <c r="G2243" s="3464">
        <v>59810</v>
      </c>
      <c r="H2243" s="3358">
        <v>59810</v>
      </c>
      <c r="I2243" s="1769">
        <f t="shared" si="489"/>
        <v>1</v>
      </c>
    </row>
    <row r="2244" spans="1:9" ht="17.100000000000001" customHeight="1">
      <c r="A2244" s="3475"/>
      <c r="B2244" s="4640"/>
      <c r="C2244" s="3445" t="s">
        <v>63</v>
      </c>
      <c r="D2244" s="3446" t="s">
        <v>798</v>
      </c>
      <c r="E2244" s="3458">
        <v>8160</v>
      </c>
      <c r="F2244" s="3458">
        <v>6369</v>
      </c>
      <c r="G2244" s="3464">
        <v>8525</v>
      </c>
      <c r="H2244" s="3358">
        <v>8525</v>
      </c>
      <c r="I2244" s="1769">
        <f t="shared" si="489"/>
        <v>1</v>
      </c>
    </row>
    <row r="2245" spans="1:9" ht="17.100000000000001" customHeight="1">
      <c r="A2245" s="3475"/>
      <c r="B2245" s="4640"/>
      <c r="C2245" s="2000"/>
      <c r="D2245" s="2122"/>
      <c r="E2245" s="3506"/>
      <c r="F2245" s="3506"/>
      <c r="G2245" s="3464"/>
      <c r="H2245" s="3358"/>
      <c r="I2245" s="1769"/>
    </row>
    <row r="2246" spans="1:9" ht="17.100000000000001" customHeight="1">
      <c r="A2246" s="3475"/>
      <c r="B2246" s="4640"/>
      <c r="C2246" s="4673" t="s">
        <v>769</v>
      </c>
      <c r="D2246" s="4673"/>
      <c r="E2246" s="3460">
        <f>E2247+E2248</f>
        <v>15000</v>
      </c>
      <c r="F2246" s="3460">
        <f>F2247+F2248</f>
        <v>39000</v>
      </c>
      <c r="G2246" s="3502">
        <f t="shared" ref="G2246:H2246" si="496">G2247+G2248</f>
        <v>39000</v>
      </c>
      <c r="H2246" s="3503">
        <f t="shared" si="496"/>
        <v>28308.6</v>
      </c>
      <c r="I2246" s="1769">
        <f t="shared" si="489"/>
        <v>0.72586153846153845</v>
      </c>
    </row>
    <row r="2247" spans="1:9" ht="17.100000000000001" customHeight="1">
      <c r="A2247" s="3475"/>
      <c r="B2247" s="4640"/>
      <c r="C2247" s="3462" t="s">
        <v>22</v>
      </c>
      <c r="D2247" s="3463" t="s">
        <v>771</v>
      </c>
      <c r="E2247" s="3458">
        <v>0</v>
      </c>
      <c r="F2247" s="3458">
        <v>24000</v>
      </c>
      <c r="G2247" s="3464">
        <v>24000</v>
      </c>
      <c r="H2247" s="3358">
        <v>19330.62</v>
      </c>
      <c r="I2247" s="1769">
        <f t="shared" si="489"/>
        <v>0.80544249999999995</v>
      </c>
    </row>
    <row r="2248" spans="1:9" ht="27" customHeight="1" thickBot="1">
      <c r="A2248" s="3475"/>
      <c r="B2248" s="4640"/>
      <c r="C2248" s="3445" t="s">
        <v>64</v>
      </c>
      <c r="D2248" s="3446" t="s">
        <v>790</v>
      </c>
      <c r="E2248" s="3458">
        <v>15000</v>
      </c>
      <c r="F2248" s="3458">
        <v>15000</v>
      </c>
      <c r="G2248" s="3464">
        <v>15000</v>
      </c>
      <c r="H2248" s="3358">
        <v>8977.98</v>
      </c>
      <c r="I2248" s="1769">
        <f t="shared" si="489"/>
        <v>0.59853199999999995</v>
      </c>
    </row>
    <row r="2249" spans="1:9" ht="17.100000000000001" hidden="1" customHeight="1">
      <c r="A2249" s="3475"/>
      <c r="B2249" s="3476"/>
      <c r="C2249" s="4679"/>
      <c r="D2249" s="4680"/>
      <c r="E2249" s="3458"/>
      <c r="F2249" s="3458"/>
      <c r="G2249" s="3464"/>
      <c r="H2249" s="3358"/>
      <c r="I2249" s="1769"/>
    </row>
    <row r="2250" spans="1:9" ht="17.100000000000001" hidden="1" customHeight="1">
      <c r="A2250" s="3475"/>
      <c r="B2250" s="3476"/>
      <c r="C2250" s="4635" t="s">
        <v>793</v>
      </c>
      <c r="D2250" s="4635"/>
      <c r="E2250" s="2644">
        <f t="shared" ref="E2250:H2250" si="497">E2251</f>
        <v>0</v>
      </c>
      <c r="F2250" s="2644">
        <f t="shared" si="497"/>
        <v>0</v>
      </c>
      <c r="G2250" s="2645">
        <f t="shared" si="497"/>
        <v>0</v>
      </c>
      <c r="H2250" s="1617">
        <f t="shared" si="497"/>
        <v>0</v>
      </c>
      <c r="I2250" s="1672" t="e">
        <f t="shared" si="489"/>
        <v>#DIV/0!</v>
      </c>
    </row>
    <row r="2251" spans="1:9" ht="17.100000000000001" hidden="1" customHeight="1">
      <c r="A2251" s="3475"/>
      <c r="B2251" s="3476"/>
      <c r="C2251" s="4681" t="s">
        <v>794</v>
      </c>
      <c r="D2251" s="4682"/>
      <c r="E2251" s="3458">
        <f>SUM(E2252:E2252)</f>
        <v>0</v>
      </c>
      <c r="F2251" s="3458">
        <f t="shared" ref="F2251:H2251" si="498">SUM(F2252:F2252)</f>
        <v>0</v>
      </c>
      <c r="G2251" s="3459">
        <f t="shared" si="498"/>
        <v>0</v>
      </c>
      <c r="H2251" s="3358">
        <f t="shared" si="498"/>
        <v>0</v>
      </c>
      <c r="I2251" s="1664" t="e">
        <f t="shared" si="489"/>
        <v>#DIV/0!</v>
      </c>
    </row>
    <row r="2252" spans="1:9" ht="17.100000000000001" hidden="1" customHeight="1" thickBot="1">
      <c r="A2252" s="3496"/>
      <c r="B2252" s="1849"/>
      <c r="C2252" s="2110" t="s">
        <v>24</v>
      </c>
      <c r="D2252" s="2111" t="s">
        <v>842</v>
      </c>
      <c r="E2252" s="2648">
        <v>0</v>
      </c>
      <c r="F2252" s="2648">
        <v>0</v>
      </c>
      <c r="G2252" s="3390">
        <v>0</v>
      </c>
      <c r="H2252" s="1747">
        <v>0</v>
      </c>
      <c r="I2252" s="1651" t="e">
        <f t="shared" si="489"/>
        <v>#DIV/0!</v>
      </c>
    </row>
    <row r="2253" spans="1:9" ht="27" customHeight="1" thickBot="1">
      <c r="A2253" s="3475"/>
      <c r="B2253" s="3491" t="s">
        <v>65</v>
      </c>
      <c r="C2253" s="3507"/>
      <c r="D2253" s="3508" t="s">
        <v>66</v>
      </c>
      <c r="E2253" s="3499">
        <f t="shared" ref="E2253:H2254" si="499">E2254</f>
        <v>39754</v>
      </c>
      <c r="F2253" s="3499">
        <f t="shared" si="499"/>
        <v>111100</v>
      </c>
      <c r="G2253" s="3500">
        <f t="shared" si="499"/>
        <v>307246</v>
      </c>
      <c r="H2253" s="3509">
        <f t="shared" si="499"/>
        <v>296666.59000000003</v>
      </c>
      <c r="I2253" s="3510">
        <f t="shared" si="489"/>
        <v>0.96556697239345679</v>
      </c>
    </row>
    <row r="2254" spans="1:9" ht="17.100000000000001" customHeight="1">
      <c r="A2254" s="3475"/>
      <c r="B2254" s="3489"/>
      <c r="C2254" s="4633" t="s">
        <v>760</v>
      </c>
      <c r="D2254" s="4633"/>
      <c r="E2254" s="2644">
        <f t="shared" si="499"/>
        <v>39754</v>
      </c>
      <c r="F2254" s="2644">
        <f t="shared" si="499"/>
        <v>111100</v>
      </c>
      <c r="G2254" s="2645">
        <f>G2255</f>
        <v>307246</v>
      </c>
      <c r="H2254" s="1617">
        <f t="shared" si="499"/>
        <v>296666.59000000003</v>
      </c>
      <c r="I2254" s="1672">
        <f t="shared" si="489"/>
        <v>0.96556697239345679</v>
      </c>
    </row>
    <row r="2255" spans="1:9" ht="16.5" customHeight="1">
      <c r="A2255" s="3475"/>
      <c r="B2255" s="3489"/>
      <c r="C2255" s="4672" t="s">
        <v>761</v>
      </c>
      <c r="D2255" s="4672"/>
      <c r="E2255" s="3458">
        <f>SUM(E2261+E2256)</f>
        <v>39754</v>
      </c>
      <c r="F2255" s="3458">
        <f>SUM(F2261+F2256)</f>
        <v>111100</v>
      </c>
      <c r="G2255" s="3459">
        <f>SUM(G2261+G2256)</f>
        <v>307246</v>
      </c>
      <c r="H2255" s="3358">
        <f t="shared" ref="H2255" si="500">SUM(H2261+H2256)</f>
        <v>296666.59000000003</v>
      </c>
      <c r="I2255" s="1769">
        <f t="shared" si="489"/>
        <v>0.96556697239345679</v>
      </c>
    </row>
    <row r="2256" spans="1:9" ht="17.25" customHeight="1">
      <c r="A2256" s="3475"/>
      <c r="B2256" s="3489"/>
      <c r="C2256" s="4618" t="s">
        <v>762</v>
      </c>
      <c r="D2256" s="4618"/>
      <c r="E2256" s="3478">
        <f>E2257+E2258+E2259</f>
        <v>39754</v>
      </c>
      <c r="F2256" s="3511">
        <f>F2257+F2258+F2259</f>
        <v>101100</v>
      </c>
      <c r="G2256" s="3512">
        <f t="shared" ref="G2256:H2256" si="501">G2257+G2258+G2259</f>
        <v>287246</v>
      </c>
      <c r="H2256" s="3513">
        <f t="shared" si="501"/>
        <v>287246</v>
      </c>
      <c r="I2256" s="1783">
        <f t="shared" si="489"/>
        <v>1</v>
      </c>
    </row>
    <row r="2257" spans="1:9" ht="16.5" customHeight="1">
      <c r="A2257" s="3475"/>
      <c r="B2257" s="3489"/>
      <c r="C2257" s="3504" t="s">
        <v>61</v>
      </c>
      <c r="D2257" s="3505" t="s">
        <v>763</v>
      </c>
      <c r="E2257" s="3478">
        <v>33213</v>
      </c>
      <c r="F2257" s="3478">
        <v>84504</v>
      </c>
      <c r="G2257" s="3410">
        <v>240092</v>
      </c>
      <c r="H2257" s="3358">
        <v>240092</v>
      </c>
      <c r="I2257" s="1769">
        <f t="shared" si="489"/>
        <v>1</v>
      </c>
    </row>
    <row r="2258" spans="1:9" ht="17.25" customHeight="1" thickBot="1">
      <c r="A2258" s="2271"/>
      <c r="B2258" s="1791"/>
      <c r="C2258" s="3415" t="s">
        <v>62</v>
      </c>
      <c r="D2258" s="3405" t="s">
        <v>765</v>
      </c>
      <c r="E2258" s="2648">
        <v>5727</v>
      </c>
      <c r="F2258" s="2648">
        <v>14526</v>
      </c>
      <c r="G2258" s="3390">
        <v>41272</v>
      </c>
      <c r="H2258" s="1747">
        <v>41272</v>
      </c>
      <c r="I2258" s="1651">
        <f t="shared" si="489"/>
        <v>1</v>
      </c>
    </row>
    <row r="2259" spans="1:9" ht="25.5" customHeight="1">
      <c r="A2259" s="3488"/>
      <c r="B2259" s="3489"/>
      <c r="C2259" s="1659" t="s">
        <v>63</v>
      </c>
      <c r="D2259" s="1660" t="s">
        <v>766</v>
      </c>
      <c r="E2259" s="3467">
        <v>814</v>
      </c>
      <c r="F2259" s="3467">
        <v>2070</v>
      </c>
      <c r="G2259" s="1881">
        <v>5882</v>
      </c>
      <c r="H2259" s="1663">
        <v>5882</v>
      </c>
      <c r="I2259" s="1769">
        <f t="shared" si="489"/>
        <v>1</v>
      </c>
    </row>
    <row r="2260" spans="1:9" ht="12.75" customHeight="1">
      <c r="A2260" s="3475"/>
      <c r="B2260" s="3489"/>
      <c r="C2260" s="3514"/>
      <c r="D2260" s="3514"/>
      <c r="E2260" s="3478"/>
      <c r="F2260" s="3478"/>
      <c r="G2260" s="3410"/>
      <c r="H2260" s="3358"/>
      <c r="I2260" s="1769"/>
    </row>
    <row r="2261" spans="1:9" ht="17.100000000000001" customHeight="1">
      <c r="A2261" s="3475"/>
      <c r="B2261" s="3489"/>
      <c r="C2261" s="4670" t="s">
        <v>769</v>
      </c>
      <c r="D2261" s="4670"/>
      <c r="E2261" s="3511">
        <f t="shared" ref="E2261" si="502">E2263</f>
        <v>0</v>
      </c>
      <c r="F2261" s="3511">
        <f>SUM(F2262:F2263)</f>
        <v>10000</v>
      </c>
      <c r="G2261" s="3511">
        <f t="shared" ref="G2261:H2261" si="503">SUM(G2262:G2263)</f>
        <v>20000</v>
      </c>
      <c r="H2261" s="3515">
        <f t="shared" si="503"/>
        <v>9420.59</v>
      </c>
      <c r="I2261" s="1783">
        <f t="shared" si="489"/>
        <v>0.47102949999999999</v>
      </c>
    </row>
    <row r="2262" spans="1:9" ht="17.100000000000001" customHeight="1">
      <c r="A2262" s="3475"/>
      <c r="B2262" s="3489"/>
      <c r="C2262" s="3411" t="s">
        <v>22</v>
      </c>
      <c r="D2262" s="3516" t="s">
        <v>771</v>
      </c>
      <c r="E2262" s="3511"/>
      <c r="F2262" s="3511">
        <v>7000</v>
      </c>
      <c r="G2262" s="2028">
        <v>17000</v>
      </c>
      <c r="H2262" s="3480">
        <v>6420.59</v>
      </c>
      <c r="I2262" s="1769">
        <f t="shared" si="489"/>
        <v>0.37768176470588238</v>
      </c>
    </row>
    <row r="2263" spans="1:9" ht="17.100000000000001" customHeight="1" thickBot="1">
      <c r="A2263" s="3475"/>
      <c r="B2263" s="3489"/>
      <c r="C2263" s="3042" t="s">
        <v>64</v>
      </c>
      <c r="D2263" s="2111" t="s">
        <v>790</v>
      </c>
      <c r="E2263" s="2648">
        <v>0</v>
      </c>
      <c r="F2263" s="2648">
        <v>3000</v>
      </c>
      <c r="G2263" s="3410">
        <v>3000</v>
      </c>
      <c r="H2263" s="3358">
        <v>3000</v>
      </c>
      <c r="I2263" s="1725">
        <f t="shared" si="489"/>
        <v>1</v>
      </c>
    </row>
    <row r="2264" spans="1:9" ht="29.25" customHeight="1" thickBot="1">
      <c r="A2264" s="3475"/>
      <c r="B2264" s="3517" t="s">
        <v>72</v>
      </c>
      <c r="C2264" s="3440"/>
      <c r="D2264" s="3441" t="s">
        <v>73</v>
      </c>
      <c r="E2264" s="3499">
        <f t="shared" ref="E2264:H2265" si="504">E2265</f>
        <v>1200</v>
      </c>
      <c r="F2264" s="3499">
        <f t="shared" si="504"/>
        <v>1050</v>
      </c>
      <c r="G2264" s="3500">
        <f t="shared" si="504"/>
        <v>2390</v>
      </c>
      <c r="H2264" s="3518">
        <f t="shared" si="504"/>
        <v>2390</v>
      </c>
      <c r="I2264" s="3494">
        <f t="shared" si="489"/>
        <v>1</v>
      </c>
    </row>
    <row r="2265" spans="1:9" ht="17.100000000000001" customHeight="1">
      <c r="A2265" s="3475"/>
      <c r="B2265" s="3488"/>
      <c r="C2265" s="4633" t="s">
        <v>760</v>
      </c>
      <c r="D2265" s="4633"/>
      <c r="E2265" s="2644">
        <f>E2266</f>
        <v>1200</v>
      </c>
      <c r="F2265" s="2644">
        <f t="shared" si="504"/>
        <v>1050</v>
      </c>
      <c r="G2265" s="2645">
        <f t="shared" si="504"/>
        <v>2390</v>
      </c>
      <c r="H2265" s="1617">
        <f t="shared" si="504"/>
        <v>2390</v>
      </c>
      <c r="I2265" s="1780">
        <f t="shared" si="489"/>
        <v>1</v>
      </c>
    </row>
    <row r="2266" spans="1:9" ht="17.100000000000001" customHeight="1">
      <c r="A2266" s="3488"/>
      <c r="B2266" s="3488"/>
      <c r="C2266" s="4671" t="s">
        <v>761</v>
      </c>
      <c r="D2266" s="4672"/>
      <c r="E2266" s="3458">
        <f>SUM(E2272+E2267)</f>
        <v>1200</v>
      </c>
      <c r="F2266" s="3458">
        <f>SUM(F2272+F2267)</f>
        <v>1050</v>
      </c>
      <c r="G2266" s="3459">
        <f t="shared" ref="G2266:H2266" si="505">SUM(G2272+G2267)</f>
        <v>2390</v>
      </c>
      <c r="H2266" s="3358">
        <f t="shared" si="505"/>
        <v>2390</v>
      </c>
      <c r="I2266" s="1769">
        <f t="shared" si="489"/>
        <v>1</v>
      </c>
    </row>
    <row r="2267" spans="1:9" ht="17.100000000000001" customHeight="1">
      <c r="A2267" s="3488"/>
      <c r="B2267" s="3488"/>
      <c r="C2267" s="4618" t="s">
        <v>762</v>
      </c>
      <c r="D2267" s="4618"/>
      <c r="E2267" s="3519">
        <f>E2268+E2269+E2270</f>
        <v>0</v>
      </c>
      <c r="F2267" s="3519">
        <f>F2268+F2269+F2270</f>
        <v>0</v>
      </c>
      <c r="G2267" s="3520">
        <f t="shared" ref="G2267:H2267" si="506">G2268+G2269+G2270</f>
        <v>1340</v>
      </c>
      <c r="H2267" s="1663">
        <f t="shared" si="506"/>
        <v>1340</v>
      </c>
      <c r="I2267" s="1769">
        <f t="shared" si="489"/>
        <v>1</v>
      </c>
    </row>
    <row r="2268" spans="1:9" ht="17.100000000000001" customHeight="1">
      <c r="A2268" s="3475"/>
      <c r="B2268" s="3488"/>
      <c r="C2268" s="3504" t="s">
        <v>61</v>
      </c>
      <c r="D2268" s="3505" t="s">
        <v>763</v>
      </c>
      <c r="E2268" s="3458"/>
      <c r="F2268" s="3458">
        <v>0</v>
      </c>
      <c r="G2268" s="3459">
        <v>1119</v>
      </c>
      <c r="H2268" s="3358">
        <v>1119</v>
      </c>
      <c r="I2268" s="1769">
        <f t="shared" si="489"/>
        <v>1</v>
      </c>
    </row>
    <row r="2269" spans="1:9" ht="17.100000000000001" customHeight="1">
      <c r="A2269" s="3475"/>
      <c r="B2269" s="3488"/>
      <c r="C2269" s="3445" t="s">
        <v>62</v>
      </c>
      <c r="D2269" s="3446" t="s">
        <v>765</v>
      </c>
      <c r="E2269" s="3458"/>
      <c r="F2269" s="3458">
        <v>0</v>
      </c>
      <c r="G2269" s="3459">
        <v>193</v>
      </c>
      <c r="H2269" s="3358">
        <v>193</v>
      </c>
      <c r="I2269" s="1769">
        <f t="shared" si="489"/>
        <v>1</v>
      </c>
    </row>
    <row r="2270" spans="1:9" ht="17.100000000000001" customHeight="1">
      <c r="A2270" s="3475"/>
      <c r="B2270" s="3488"/>
      <c r="C2270" s="3445" t="s">
        <v>63</v>
      </c>
      <c r="D2270" s="3446" t="s">
        <v>798</v>
      </c>
      <c r="E2270" s="3458"/>
      <c r="F2270" s="3458">
        <v>0</v>
      </c>
      <c r="G2270" s="3459">
        <v>28</v>
      </c>
      <c r="H2270" s="3358">
        <v>28</v>
      </c>
      <c r="I2270" s="1769">
        <f t="shared" si="489"/>
        <v>1</v>
      </c>
    </row>
    <row r="2271" spans="1:9" ht="17.100000000000001" customHeight="1">
      <c r="A2271" s="3475"/>
      <c r="B2271" s="3488"/>
      <c r="C2271" s="3514"/>
      <c r="D2271" s="3514"/>
      <c r="E2271" s="3458"/>
      <c r="F2271" s="3458">
        <v>0</v>
      </c>
      <c r="G2271" s="3459"/>
      <c r="H2271" s="3358"/>
      <c r="I2271" s="1769"/>
    </row>
    <row r="2272" spans="1:9" ht="17.100000000000001" customHeight="1">
      <c r="A2272" s="3475"/>
      <c r="B2272" s="3488"/>
      <c r="C2272" s="4673" t="s">
        <v>769</v>
      </c>
      <c r="D2272" s="4673"/>
      <c r="E2272" s="3460">
        <f t="shared" ref="E2272:H2272" si="507">E2274+E2273</f>
        <v>1200</v>
      </c>
      <c r="F2272" s="3460">
        <f t="shared" si="507"/>
        <v>1050</v>
      </c>
      <c r="G2272" s="3502">
        <f t="shared" si="507"/>
        <v>1050</v>
      </c>
      <c r="H2272" s="3503">
        <f t="shared" si="507"/>
        <v>1050</v>
      </c>
      <c r="I2272" s="1783">
        <f t="shared" si="489"/>
        <v>1</v>
      </c>
    </row>
    <row r="2273" spans="1:9" ht="17.25" hidden="1" customHeight="1">
      <c r="A2273" s="3475"/>
      <c r="B2273" s="3488"/>
      <c r="C2273" s="3445" t="s">
        <v>22</v>
      </c>
      <c r="D2273" s="3446" t="s">
        <v>771</v>
      </c>
      <c r="E2273" s="3458">
        <v>0</v>
      </c>
      <c r="F2273" s="3458"/>
      <c r="G2273" s="3464"/>
      <c r="H2273" s="3358"/>
      <c r="I2273" s="1769" t="e">
        <f t="shared" si="489"/>
        <v>#DIV/0!</v>
      </c>
    </row>
    <row r="2274" spans="1:9" ht="29.25" customHeight="1" thickBot="1">
      <c r="A2274" s="3488"/>
      <c r="B2274" s="2271"/>
      <c r="C2274" s="3404" t="s">
        <v>64</v>
      </c>
      <c r="D2274" s="3405" t="s">
        <v>790</v>
      </c>
      <c r="E2274" s="2648">
        <v>1200</v>
      </c>
      <c r="F2274" s="2648">
        <v>1050</v>
      </c>
      <c r="G2274" s="3497">
        <v>1050</v>
      </c>
      <c r="H2274" s="1747">
        <v>1050</v>
      </c>
      <c r="I2274" s="1651">
        <f t="shared" si="489"/>
        <v>1</v>
      </c>
    </row>
    <row r="2275" spans="1:9" ht="20.25" customHeight="1" thickBot="1">
      <c r="A2275" s="3488"/>
      <c r="B2275" s="3517" t="s">
        <v>74</v>
      </c>
      <c r="C2275" s="3440"/>
      <c r="D2275" s="3441" t="s">
        <v>1170</v>
      </c>
      <c r="E2275" s="3492">
        <f t="shared" ref="E2275:H2275" si="508">E2276</f>
        <v>182849</v>
      </c>
      <c r="F2275" s="3492">
        <f t="shared" si="508"/>
        <v>150000</v>
      </c>
      <c r="G2275" s="3500">
        <f t="shared" si="508"/>
        <v>338997</v>
      </c>
      <c r="H2275" s="3449">
        <f t="shared" si="508"/>
        <v>335997</v>
      </c>
      <c r="I2275" s="3487">
        <f t="shared" si="489"/>
        <v>0.99115036416251467</v>
      </c>
    </row>
    <row r="2276" spans="1:9" ht="17.100000000000001" customHeight="1">
      <c r="A2276" s="3475"/>
      <c r="B2276" s="4674"/>
      <c r="C2276" s="4633" t="s">
        <v>760</v>
      </c>
      <c r="D2276" s="4633"/>
      <c r="E2276" s="3506">
        <f>E2277</f>
        <v>182849</v>
      </c>
      <c r="F2276" s="3521">
        <f>F2277</f>
        <v>150000</v>
      </c>
      <c r="G2276" s="3522">
        <f>G2277</f>
        <v>338997</v>
      </c>
      <c r="H2276" s="3523">
        <f>H2277</f>
        <v>335997</v>
      </c>
      <c r="I2276" s="1780">
        <f t="shared" si="489"/>
        <v>0.99115036416251467</v>
      </c>
    </row>
    <row r="2277" spans="1:9" ht="17.100000000000001" customHeight="1">
      <c r="A2277" s="3475"/>
      <c r="B2277" s="4646"/>
      <c r="C2277" s="4676" t="s">
        <v>761</v>
      </c>
      <c r="D2277" s="4676"/>
      <c r="E2277" s="3478">
        <f>E2278</f>
        <v>182849</v>
      </c>
      <c r="F2277" s="3478">
        <f>F2278+F2283</f>
        <v>150000</v>
      </c>
      <c r="G2277" s="3478">
        <f>G2278+G2283</f>
        <v>338997</v>
      </c>
      <c r="H2277" s="3495">
        <f>H2278+H2283</f>
        <v>335997</v>
      </c>
      <c r="I2277" s="1769">
        <f t="shared" si="489"/>
        <v>0.99115036416251467</v>
      </c>
    </row>
    <row r="2278" spans="1:9" ht="17.100000000000001" customHeight="1">
      <c r="A2278" s="3475"/>
      <c r="B2278" s="4646"/>
      <c r="C2278" s="4666" t="s">
        <v>762</v>
      </c>
      <c r="D2278" s="4677"/>
      <c r="E2278" s="3478">
        <f>E2279+E2280+E2281</f>
        <v>182849</v>
      </c>
      <c r="F2278" s="3511">
        <f>F2279+F2280+F2281</f>
        <v>144000</v>
      </c>
      <c r="G2278" s="3512">
        <f t="shared" ref="G2278" si="509">G2279+G2280+G2281</f>
        <v>332997</v>
      </c>
      <c r="H2278" s="3513">
        <f>H2279+H2280+H2281</f>
        <v>332997</v>
      </c>
      <c r="I2278" s="1783">
        <f t="shared" si="489"/>
        <v>1</v>
      </c>
    </row>
    <row r="2279" spans="1:9" ht="17.100000000000001" customHeight="1">
      <c r="A2279" s="3475"/>
      <c r="B2279" s="4646"/>
      <c r="C2279" s="3504" t="s">
        <v>61</v>
      </c>
      <c r="D2279" s="3505" t="s">
        <v>763</v>
      </c>
      <c r="E2279" s="3478">
        <v>152700</v>
      </c>
      <c r="F2279" s="3478">
        <v>120360</v>
      </c>
      <c r="G2279" s="3524">
        <v>278330</v>
      </c>
      <c r="H2279" s="3358">
        <v>278330</v>
      </c>
      <c r="I2279" s="1769">
        <f t="shared" si="489"/>
        <v>1</v>
      </c>
    </row>
    <row r="2280" spans="1:9" ht="17.100000000000001" customHeight="1">
      <c r="A2280" s="3475"/>
      <c r="B2280" s="4646"/>
      <c r="C2280" s="3525" t="s">
        <v>62</v>
      </c>
      <c r="D2280" s="3526" t="s">
        <v>765</v>
      </c>
      <c r="E2280" s="3527">
        <v>26408</v>
      </c>
      <c r="F2280" s="3527">
        <v>20690</v>
      </c>
      <c r="G2280" s="3528">
        <v>47846</v>
      </c>
      <c r="H2280" s="3358">
        <v>47846</v>
      </c>
      <c r="I2280" s="1769">
        <f t="shared" si="489"/>
        <v>1</v>
      </c>
    </row>
    <row r="2281" spans="1:9" ht="28.5" customHeight="1">
      <c r="A2281" s="3496"/>
      <c r="B2281" s="4646"/>
      <c r="C2281" s="3529" t="s">
        <v>63</v>
      </c>
      <c r="D2281" s="3530" t="s">
        <v>766</v>
      </c>
      <c r="E2281" s="3458">
        <v>3741</v>
      </c>
      <c r="F2281" s="3458">
        <v>2950</v>
      </c>
      <c r="G2281" s="3524">
        <v>6821</v>
      </c>
      <c r="H2281" s="3358">
        <v>6821</v>
      </c>
      <c r="I2281" s="1769">
        <f t="shared" si="489"/>
        <v>1</v>
      </c>
    </row>
    <row r="2282" spans="1:9" ht="10.5" customHeight="1">
      <c r="A2282" s="3475"/>
      <c r="B2282" s="4646"/>
      <c r="C2282" s="3531"/>
      <c r="D2282" s="3532"/>
      <c r="E2282" s="3458"/>
      <c r="F2282" s="3458"/>
      <c r="G2282" s="3533"/>
      <c r="H2282" s="3358"/>
      <c r="I2282" s="3534"/>
    </row>
    <row r="2283" spans="1:9" ht="17.100000000000001" customHeight="1">
      <c r="A2283" s="3475"/>
      <c r="B2283" s="4646"/>
      <c r="C2283" s="4678" t="s">
        <v>769</v>
      </c>
      <c r="D2283" s="4678"/>
      <c r="E2283" s="3535">
        <f t="shared" ref="E2283" si="510">E2285</f>
        <v>0</v>
      </c>
      <c r="F2283" s="3535">
        <f>SUM(F2284:F2285)</f>
        <v>6000</v>
      </c>
      <c r="G2283" s="3535">
        <f t="shared" ref="G2283:H2283" si="511">SUM(G2284:G2285)</f>
        <v>6000</v>
      </c>
      <c r="H2283" s="3536">
        <f t="shared" si="511"/>
        <v>3000</v>
      </c>
      <c r="I2283" s="1783">
        <f t="shared" ref="I2283:I2285" si="512">H2283/G2283</f>
        <v>0.5</v>
      </c>
    </row>
    <row r="2284" spans="1:9" ht="17.100000000000001" customHeight="1">
      <c r="A2284" s="3475"/>
      <c r="B2284" s="4646"/>
      <c r="C2284" s="3411" t="s">
        <v>22</v>
      </c>
      <c r="D2284" s="3516" t="s">
        <v>771</v>
      </c>
      <c r="E2284" s="3511"/>
      <c r="F2284" s="3511">
        <v>3000</v>
      </c>
      <c r="G2284" s="3537">
        <v>3000</v>
      </c>
      <c r="H2284" s="3513">
        <v>0</v>
      </c>
      <c r="I2284" s="1783">
        <f t="shared" si="512"/>
        <v>0</v>
      </c>
    </row>
    <row r="2285" spans="1:9" ht="17.100000000000001" customHeight="1" thickBot="1">
      <c r="A2285" s="1645"/>
      <c r="B2285" s="4675"/>
      <c r="C2285" s="3042" t="s">
        <v>64</v>
      </c>
      <c r="D2285" s="2111" t="s">
        <v>790</v>
      </c>
      <c r="E2285" s="2648">
        <v>0</v>
      </c>
      <c r="F2285" s="2648">
        <v>3000</v>
      </c>
      <c r="G2285" s="3524">
        <v>3000</v>
      </c>
      <c r="H2285" s="3358">
        <v>3000</v>
      </c>
      <c r="I2285" s="1725">
        <f t="shared" si="512"/>
        <v>1</v>
      </c>
    </row>
    <row r="2286" spans="1:9" ht="17.100000000000001" customHeight="1" thickBot="1">
      <c r="A2286" s="3475"/>
      <c r="B2286" s="1794" t="s">
        <v>165</v>
      </c>
      <c r="C2286" s="3440"/>
      <c r="D2286" s="3441" t="s">
        <v>95</v>
      </c>
      <c r="E2286" s="3492">
        <f>E2287+E2304</f>
        <v>250000</v>
      </c>
      <c r="F2286" s="3492">
        <f>F2287+F2304</f>
        <v>66000</v>
      </c>
      <c r="G2286" s="3500">
        <f t="shared" ref="G2286:H2286" si="513">G2287+G2304</f>
        <v>1815752</v>
      </c>
      <c r="H2286" s="3449">
        <f t="shared" si="513"/>
        <v>1781215.27</v>
      </c>
      <c r="I2286" s="3487">
        <f t="shared" si="489"/>
        <v>0.98097937934255341</v>
      </c>
    </row>
    <row r="2287" spans="1:9" ht="15" customHeight="1">
      <c r="A2287" s="3475"/>
      <c r="B2287" s="3489"/>
      <c r="C2287" s="4633" t="s">
        <v>760</v>
      </c>
      <c r="D2287" s="4633"/>
      <c r="E2287" s="3538">
        <f>E2288+E2301</f>
        <v>180000</v>
      </c>
      <c r="F2287" s="3538">
        <f>F2288+F2301</f>
        <v>66000</v>
      </c>
      <c r="G2287" s="3539">
        <f t="shared" ref="G2287:H2287" si="514">G2288+G2301</f>
        <v>83325</v>
      </c>
      <c r="H2287" s="3540">
        <f t="shared" si="514"/>
        <v>60788.6</v>
      </c>
      <c r="I2287" s="1780">
        <f t="shared" si="489"/>
        <v>0.7295361536153615</v>
      </c>
    </row>
    <row r="2288" spans="1:9" ht="15" customHeight="1">
      <c r="A2288" s="3475"/>
      <c r="B2288" s="3489"/>
      <c r="C2288" s="4665" t="s">
        <v>761</v>
      </c>
      <c r="D2288" s="4665"/>
      <c r="E2288" s="3357">
        <f>E2289+E2295</f>
        <v>170000</v>
      </c>
      <c r="F2288" s="3357">
        <f>F2289+F2295</f>
        <v>66000</v>
      </c>
      <c r="G2288" s="3400">
        <f t="shared" ref="G2288" si="515">G2289+G2295</f>
        <v>59714</v>
      </c>
      <c r="H2288" s="3358">
        <f>H2289+H2295</f>
        <v>49031.6</v>
      </c>
      <c r="I2288" s="1769">
        <f t="shared" si="489"/>
        <v>0.82110727802525374</v>
      </c>
    </row>
    <row r="2289" spans="1:9" ht="15" customHeight="1">
      <c r="A2289" s="3475"/>
      <c r="B2289" s="3489"/>
      <c r="C2289" s="4666" t="s">
        <v>762</v>
      </c>
      <c r="D2289" s="4667"/>
      <c r="E2289" s="3357">
        <f>E2292</f>
        <v>5000</v>
      </c>
      <c r="F2289" s="3541">
        <f>SUM(F2290:F2293)</f>
        <v>2500</v>
      </c>
      <c r="G2289" s="3541">
        <f>SUM(G2290:G2293)</f>
        <v>31214</v>
      </c>
      <c r="H2289" s="3503">
        <f>SUM(H2290:H2293)</f>
        <v>28577.599999999999</v>
      </c>
      <c r="I2289" s="1783">
        <f t="shared" si="489"/>
        <v>0.91553789966040877</v>
      </c>
    </row>
    <row r="2290" spans="1:9" ht="15" customHeight="1">
      <c r="A2290" s="3475"/>
      <c r="B2290" s="3489"/>
      <c r="C2290" s="3542">
        <v>4110</v>
      </c>
      <c r="D2290" s="3543" t="s">
        <v>765</v>
      </c>
      <c r="E2290" s="3544"/>
      <c r="F2290" s="3357">
        <v>0</v>
      </c>
      <c r="G2290" s="3545">
        <v>4126</v>
      </c>
      <c r="H2290" s="3358">
        <v>4125.6000000000004</v>
      </c>
      <c r="I2290" s="1783">
        <f t="shared" si="489"/>
        <v>0.99990305380513822</v>
      </c>
    </row>
    <row r="2291" spans="1:9" ht="15" customHeight="1">
      <c r="A2291" s="3475"/>
      <c r="B2291" s="3489"/>
      <c r="C2291" s="3542">
        <v>4120</v>
      </c>
      <c r="D2291" s="3543" t="s">
        <v>1171</v>
      </c>
      <c r="E2291" s="3544"/>
      <c r="F2291" s="3357">
        <v>0</v>
      </c>
      <c r="G2291" s="3545">
        <v>528</v>
      </c>
      <c r="H2291" s="3358">
        <v>392</v>
      </c>
      <c r="I2291" s="1783">
        <f t="shared" si="489"/>
        <v>0.74242424242424243</v>
      </c>
    </row>
    <row r="2292" spans="1:9" ht="15" customHeight="1">
      <c r="A2292" s="3475"/>
      <c r="B2292" s="3489"/>
      <c r="C2292" s="3546" t="s">
        <v>324</v>
      </c>
      <c r="D2292" s="1992" t="s">
        <v>767</v>
      </c>
      <c r="E2292" s="3357">
        <v>5000</v>
      </c>
      <c r="F2292" s="3357">
        <v>2500</v>
      </c>
      <c r="G2292" s="3410">
        <v>26500</v>
      </c>
      <c r="H2292" s="3358">
        <v>24000</v>
      </c>
      <c r="I2292" s="1783">
        <f t="shared" si="489"/>
        <v>0.90566037735849059</v>
      </c>
    </row>
    <row r="2293" spans="1:9" ht="15" customHeight="1">
      <c r="A2293" s="3475"/>
      <c r="B2293" s="3489"/>
      <c r="C2293" s="3547" t="s">
        <v>335</v>
      </c>
      <c r="D2293" s="3548" t="s">
        <v>768</v>
      </c>
      <c r="E2293" s="3549"/>
      <c r="F2293" s="3357">
        <v>0</v>
      </c>
      <c r="G2293" s="3410">
        <v>60</v>
      </c>
      <c r="H2293" s="3358">
        <v>60</v>
      </c>
      <c r="I2293" s="1783">
        <f t="shared" si="489"/>
        <v>1</v>
      </c>
    </row>
    <row r="2294" spans="1:9" ht="15" customHeight="1">
      <c r="A2294" s="3475"/>
      <c r="B2294" s="3489"/>
      <c r="C2294" s="3550"/>
      <c r="D2294" s="1992"/>
      <c r="E2294" s="3357"/>
      <c r="F2294" s="3357"/>
      <c r="G2294" s="3551"/>
      <c r="H2294" s="3358"/>
      <c r="I2294" s="1769"/>
    </row>
    <row r="2295" spans="1:9" ht="15" customHeight="1">
      <c r="A2295" s="3475"/>
      <c r="B2295" s="3489"/>
      <c r="C2295" s="4641" t="s">
        <v>769</v>
      </c>
      <c r="D2295" s="4641"/>
      <c r="E2295" s="3541">
        <f>SUM(E2296:E2299)</f>
        <v>165000</v>
      </c>
      <c r="F2295" s="3541">
        <f>SUM(F2296:F2299)</f>
        <v>63500</v>
      </c>
      <c r="G2295" s="3419">
        <f t="shared" ref="G2295:H2295" si="516">SUM(G2296:G2299)</f>
        <v>28500</v>
      </c>
      <c r="H2295" s="3503">
        <f t="shared" si="516"/>
        <v>20454</v>
      </c>
      <c r="I2295" s="1769">
        <f t="shared" si="489"/>
        <v>0.71768421052631581</v>
      </c>
    </row>
    <row r="2296" spans="1:9" ht="15" hidden="1" customHeight="1">
      <c r="A2296" s="3475"/>
      <c r="B2296" s="3489"/>
      <c r="C2296" s="3552" t="s">
        <v>47</v>
      </c>
      <c r="D2296" s="3553" t="s">
        <v>818</v>
      </c>
      <c r="E2296" s="3554"/>
      <c r="F2296" s="3554">
        <v>0</v>
      </c>
      <c r="G2296" s="3410">
        <v>0</v>
      </c>
      <c r="H2296" s="3358">
        <v>0</v>
      </c>
      <c r="I2296" s="1769"/>
    </row>
    <row r="2297" spans="1:9" ht="15" hidden="1" customHeight="1">
      <c r="A2297" s="3475"/>
      <c r="B2297" s="3489"/>
      <c r="C2297" s="3552" t="s">
        <v>22</v>
      </c>
      <c r="D2297" s="3553" t="s">
        <v>771</v>
      </c>
      <c r="E2297" s="3554">
        <v>5000</v>
      </c>
      <c r="F2297" s="3554">
        <v>0</v>
      </c>
      <c r="G2297" s="3410">
        <v>0</v>
      </c>
      <c r="H2297" s="3358">
        <v>0</v>
      </c>
      <c r="I2297" s="1769"/>
    </row>
    <row r="2298" spans="1:9" ht="15" customHeight="1">
      <c r="A2298" s="3488"/>
      <c r="B2298" s="3489"/>
      <c r="C2298" s="1690" t="s">
        <v>23</v>
      </c>
      <c r="D2298" s="3555" t="s">
        <v>776</v>
      </c>
      <c r="E2298" s="3357">
        <f>120000+5000</f>
        <v>125000</v>
      </c>
      <c r="F2298" s="3357">
        <v>51000</v>
      </c>
      <c r="G2298" s="3410">
        <v>21000</v>
      </c>
      <c r="H2298" s="3358">
        <v>20454</v>
      </c>
      <c r="I2298" s="1769">
        <f t="shared" si="489"/>
        <v>0.97399999999999998</v>
      </c>
    </row>
    <row r="2299" spans="1:9" ht="15" customHeight="1">
      <c r="A2299" s="3488"/>
      <c r="B2299" s="3489"/>
      <c r="C2299" s="1659" t="s">
        <v>327</v>
      </c>
      <c r="D2299" s="1660" t="s">
        <v>778</v>
      </c>
      <c r="E2299" s="3556">
        <v>35000</v>
      </c>
      <c r="F2299" s="3556">
        <v>12500</v>
      </c>
      <c r="G2299" s="1881">
        <v>7500</v>
      </c>
      <c r="H2299" s="1663">
        <v>0</v>
      </c>
      <c r="I2299" s="1769">
        <f t="shared" si="489"/>
        <v>0</v>
      </c>
    </row>
    <row r="2300" spans="1:9" ht="15" customHeight="1">
      <c r="A2300" s="3475"/>
      <c r="B2300" s="3476"/>
      <c r="C2300" s="4668"/>
      <c r="D2300" s="4669"/>
      <c r="E2300" s="3357"/>
      <c r="F2300" s="3357"/>
      <c r="G2300" s="3551"/>
      <c r="H2300" s="3358"/>
      <c r="I2300" s="1769"/>
    </row>
    <row r="2301" spans="1:9" ht="15" customHeight="1">
      <c r="A2301" s="3475"/>
      <c r="B2301" s="3476"/>
      <c r="C2301" s="4612" t="s">
        <v>838</v>
      </c>
      <c r="D2301" s="4612"/>
      <c r="E2301" s="3357">
        <f>E2302</f>
        <v>10000</v>
      </c>
      <c r="F2301" s="3357">
        <f t="shared" ref="F2301:H2301" si="517">F2302</f>
        <v>0</v>
      </c>
      <c r="G2301" s="3357">
        <f t="shared" si="517"/>
        <v>23611</v>
      </c>
      <c r="H2301" s="3358">
        <f t="shared" si="517"/>
        <v>11757</v>
      </c>
      <c r="I2301" s="1769">
        <f t="shared" si="489"/>
        <v>0.49794587268645968</v>
      </c>
    </row>
    <row r="2302" spans="1:9" ht="39" customHeight="1">
      <c r="A2302" s="3475"/>
      <c r="B2302" s="3476"/>
      <c r="C2302" s="3557" t="s">
        <v>86</v>
      </c>
      <c r="D2302" s="3558" t="s">
        <v>941</v>
      </c>
      <c r="E2302" s="3357">
        <v>10000</v>
      </c>
      <c r="F2302" s="3357">
        <v>0</v>
      </c>
      <c r="G2302" s="3551">
        <v>23611</v>
      </c>
      <c r="H2302" s="3358">
        <v>11757</v>
      </c>
      <c r="I2302" s="1769">
        <f t="shared" si="489"/>
        <v>0.49794587268645968</v>
      </c>
    </row>
    <row r="2303" spans="1:9" ht="15" customHeight="1">
      <c r="A2303" s="3475"/>
      <c r="B2303" s="3476"/>
      <c r="C2303" s="4638"/>
      <c r="D2303" s="4639"/>
      <c r="E2303" s="3357"/>
      <c r="F2303" s="3357"/>
      <c r="G2303" s="3551"/>
      <c r="H2303" s="3358"/>
      <c r="I2303" s="1769"/>
    </row>
    <row r="2304" spans="1:9" ht="15" customHeight="1">
      <c r="A2304" s="3475"/>
      <c r="B2304" s="3476"/>
      <c r="C2304" s="4661" t="s">
        <v>793</v>
      </c>
      <c r="D2304" s="4659"/>
      <c r="E2304" s="3559">
        <f>E2305</f>
        <v>70000</v>
      </c>
      <c r="F2304" s="3559">
        <f t="shared" ref="F2304:H2304" si="518">F2305</f>
        <v>0</v>
      </c>
      <c r="G2304" s="3559">
        <f t="shared" si="518"/>
        <v>1732427</v>
      </c>
      <c r="H2304" s="3560">
        <f t="shared" si="518"/>
        <v>1720426.67</v>
      </c>
      <c r="I2304" s="1780">
        <f t="shared" ref="I2304:I2380" si="519">H2304/G2304</f>
        <v>0.99307311072847515</v>
      </c>
    </row>
    <row r="2305" spans="1:9" ht="15" customHeight="1">
      <c r="A2305" s="3475"/>
      <c r="B2305" s="3476"/>
      <c r="C2305" s="4644" t="s">
        <v>794</v>
      </c>
      <c r="D2305" s="4662"/>
      <c r="E2305" s="3357">
        <f>E2307</f>
        <v>70000</v>
      </c>
      <c r="F2305" s="3357">
        <f>SUM(F2306:F2307)</f>
        <v>0</v>
      </c>
      <c r="G2305" s="3357">
        <f t="shared" ref="G2305:H2305" si="520">SUM(G2306:G2307)</f>
        <v>1732427</v>
      </c>
      <c r="H2305" s="3358">
        <f t="shared" si="520"/>
        <v>1720426.67</v>
      </c>
      <c r="I2305" s="1769">
        <f t="shared" si="519"/>
        <v>0.99307311072847515</v>
      </c>
    </row>
    <row r="2306" spans="1:9" ht="66" customHeight="1">
      <c r="A2306" s="3488"/>
      <c r="B2306" s="3489"/>
      <c r="C2306" s="2012" t="s">
        <v>872</v>
      </c>
      <c r="D2306" s="3561" t="s">
        <v>1172</v>
      </c>
      <c r="E2306" s="3562"/>
      <c r="F2306" s="3357">
        <v>0</v>
      </c>
      <c r="G2306" s="3545">
        <v>1673819</v>
      </c>
      <c r="H2306" s="3358">
        <v>1673818.67</v>
      </c>
      <c r="I2306" s="1769">
        <f t="shared" si="519"/>
        <v>0.99999980284606638</v>
      </c>
    </row>
    <row r="2307" spans="1:9" ht="41.25" customHeight="1" thickBot="1">
      <c r="A2307" s="2271"/>
      <c r="B2307" s="1791"/>
      <c r="C2307" s="2110" t="s">
        <v>88</v>
      </c>
      <c r="D2307" s="2111" t="s">
        <v>909</v>
      </c>
      <c r="E2307" s="1814">
        <v>70000</v>
      </c>
      <c r="F2307" s="1814">
        <v>0</v>
      </c>
      <c r="G2307" s="1902">
        <v>58608</v>
      </c>
      <c r="H2307" s="1815">
        <v>46608</v>
      </c>
      <c r="I2307" s="1651">
        <f t="shared" si="519"/>
        <v>0.79524979524979522</v>
      </c>
    </row>
    <row r="2308" spans="1:9" ht="17.100000000000001" customHeight="1" thickBot="1">
      <c r="A2308" s="3563" t="s">
        <v>105</v>
      </c>
      <c r="B2308" s="3564"/>
      <c r="C2308" s="3565"/>
      <c r="D2308" s="3566" t="s">
        <v>1173</v>
      </c>
      <c r="E2308" s="3567">
        <f>E2309+E2329+E2338+E2347+E2365+E2371+E2380+E2390+E2402+E2419</f>
        <v>89050220</v>
      </c>
      <c r="F2308" s="3568">
        <f>F2309+F2329+F2338+F2347+F2365+F2371+F2380+F2390+F2402+F2419</f>
        <v>85407117</v>
      </c>
      <c r="G2308" s="3569">
        <f>G2309+G2329+G2338+G2347+G2365+G2371+G2380+G2390+G2402+G2419</f>
        <v>90403770</v>
      </c>
      <c r="H2308" s="3570">
        <f>H2309+H2329+H2338+H2347+H2365+H2371+H2380+H2390+H2402+H2419</f>
        <v>85319437.669999987</v>
      </c>
      <c r="I2308" s="3571">
        <f t="shared" si="519"/>
        <v>0.94375973114838008</v>
      </c>
    </row>
    <row r="2309" spans="1:9" ht="17.100000000000001" customHeight="1" thickBot="1">
      <c r="A2309" s="3475"/>
      <c r="B2309" s="3455" t="s">
        <v>166</v>
      </c>
      <c r="C2309" s="3440"/>
      <c r="D2309" s="3441" t="s">
        <v>360</v>
      </c>
      <c r="E2309" s="3572">
        <f t="shared" ref="E2309" si="521">E2310</f>
        <v>807000</v>
      </c>
      <c r="F2309" s="3572">
        <f>SUM(F2310,F2325)</f>
        <v>845656</v>
      </c>
      <c r="G2309" s="3572">
        <f>SUM(G2310,G2325)</f>
        <v>1052400</v>
      </c>
      <c r="H2309" s="3449">
        <f>SUM(H2310,H2325)</f>
        <v>837894.23</v>
      </c>
      <c r="I2309" s="3487">
        <f t="shared" si="519"/>
        <v>0.7961746769289243</v>
      </c>
    </row>
    <row r="2310" spans="1:9" ht="17.100000000000001" customHeight="1">
      <c r="A2310" s="3475"/>
      <c r="B2310" s="3489"/>
      <c r="C2310" s="4633" t="s">
        <v>760</v>
      </c>
      <c r="D2310" s="4633"/>
      <c r="E2310" s="1615">
        <f>E2317+E2321</f>
        <v>807000</v>
      </c>
      <c r="F2310" s="1615">
        <f>F2317+F2321+F2311</f>
        <v>710656</v>
      </c>
      <c r="G2310" s="1615">
        <f>G2317+G2321+G2311</f>
        <v>905400</v>
      </c>
      <c r="H2310" s="1617">
        <f>H2317+H2321+H2311</f>
        <v>837894.23</v>
      </c>
      <c r="I2310" s="1780">
        <f t="shared" si="519"/>
        <v>0.92544094322951176</v>
      </c>
    </row>
    <row r="2311" spans="1:9" ht="15" customHeight="1">
      <c r="A2311" s="3475"/>
      <c r="B2311" s="3489"/>
      <c r="C2311" s="4663" t="s">
        <v>761</v>
      </c>
      <c r="D2311" s="4663"/>
      <c r="E2311" s="3357">
        <f>E2317+E2323</f>
        <v>651000</v>
      </c>
      <c r="F2311" s="3357">
        <f>F2312</f>
        <v>0</v>
      </c>
      <c r="G2311" s="3357">
        <f t="shared" ref="G2311:H2311" si="522">G2312</f>
        <v>7000</v>
      </c>
      <c r="H2311" s="3358">
        <f t="shared" si="522"/>
        <v>2029.5</v>
      </c>
      <c r="I2311" s="1769">
        <f t="shared" si="519"/>
        <v>0.28992857142857142</v>
      </c>
    </row>
    <row r="2312" spans="1:9" ht="15" customHeight="1">
      <c r="A2312" s="3475"/>
      <c r="B2312" s="3489"/>
      <c r="C2312" s="4664" t="s">
        <v>769</v>
      </c>
      <c r="D2312" s="4664"/>
      <c r="E2312" s="3541">
        <f>SUM(E2313:E2317)</f>
        <v>747000</v>
      </c>
      <c r="F2312" s="3541">
        <f>F2315</f>
        <v>0</v>
      </c>
      <c r="G2312" s="3541">
        <f t="shared" ref="G2312:H2312" si="523">G2315</f>
        <v>7000</v>
      </c>
      <c r="H2312" s="3503">
        <f t="shared" si="523"/>
        <v>2029.5</v>
      </c>
      <c r="I2312" s="1769">
        <f t="shared" si="519"/>
        <v>0.28992857142857142</v>
      </c>
    </row>
    <row r="2313" spans="1:9" ht="15" hidden="1" customHeight="1">
      <c r="A2313" s="3475"/>
      <c r="B2313" s="3489"/>
      <c r="C2313" s="3552" t="s">
        <v>47</v>
      </c>
      <c r="D2313" s="3573" t="s">
        <v>818</v>
      </c>
      <c r="E2313" s="3574"/>
      <c r="F2313" s="3574"/>
      <c r="G2313" s="3551"/>
      <c r="H2313" s="3358"/>
      <c r="I2313" s="1769"/>
    </row>
    <row r="2314" spans="1:9" ht="15" hidden="1" customHeight="1">
      <c r="A2314" s="3475"/>
      <c r="B2314" s="3489"/>
      <c r="C2314" s="3552" t="s">
        <v>22</v>
      </c>
      <c r="D2314" s="3573" t="s">
        <v>771</v>
      </c>
      <c r="E2314" s="3574">
        <v>5000</v>
      </c>
      <c r="F2314" s="3574"/>
      <c r="G2314" s="3551"/>
      <c r="H2314" s="3358"/>
      <c r="I2314" s="1769"/>
    </row>
    <row r="2315" spans="1:9" ht="15" customHeight="1">
      <c r="A2315" s="3475"/>
      <c r="B2315" s="3489"/>
      <c r="C2315" s="3411" t="s">
        <v>23</v>
      </c>
      <c r="D2315" s="3575" t="s">
        <v>776</v>
      </c>
      <c r="E2315" s="3554">
        <f>120000+5000</f>
        <v>125000</v>
      </c>
      <c r="F2315" s="3554">
        <v>0</v>
      </c>
      <c r="G2315" s="3410">
        <v>7000</v>
      </c>
      <c r="H2315" s="3358">
        <v>2029.5</v>
      </c>
      <c r="I2315" s="1769">
        <f t="shared" ref="I2315" si="524">H2315/G2315</f>
        <v>0.28992857142857142</v>
      </c>
    </row>
    <row r="2316" spans="1:9" ht="15" customHeight="1">
      <c r="A2316" s="3475"/>
      <c r="B2316" s="3489"/>
      <c r="C2316" s="2000"/>
      <c r="D2316" s="3576"/>
      <c r="E2316" s="3554"/>
      <c r="F2316" s="3554"/>
      <c r="G2316" s="3577"/>
      <c r="H2316" s="3358"/>
      <c r="I2316" s="1769"/>
    </row>
    <row r="2317" spans="1:9" ht="17.100000000000001" customHeight="1">
      <c r="A2317" s="3475"/>
      <c r="B2317" s="3489"/>
      <c r="C2317" s="4612" t="s">
        <v>838</v>
      </c>
      <c r="D2317" s="4612"/>
      <c r="E2317" s="3357">
        <f>SUM(E2318:E2319)</f>
        <v>617000</v>
      </c>
      <c r="F2317" s="3357">
        <f>SUM(F2318:F2319)</f>
        <v>500000</v>
      </c>
      <c r="G2317" s="3578">
        <f t="shared" ref="G2317:H2317" si="525">SUM(G2318:G2319)</f>
        <v>681000</v>
      </c>
      <c r="H2317" s="3358">
        <f t="shared" si="525"/>
        <v>675864.73</v>
      </c>
      <c r="I2317" s="1769">
        <f t="shared" si="519"/>
        <v>0.99245922173274592</v>
      </c>
    </row>
    <row r="2318" spans="1:9" ht="54.75" customHeight="1">
      <c r="A2318" s="3475"/>
      <c r="B2318" s="3489"/>
      <c r="C2318" s="3557" t="s">
        <v>44</v>
      </c>
      <c r="D2318" s="3558" t="s">
        <v>850</v>
      </c>
      <c r="E2318" s="3357">
        <v>617000</v>
      </c>
      <c r="F2318" s="3357">
        <v>500000</v>
      </c>
      <c r="G2318" s="3551">
        <v>669000</v>
      </c>
      <c r="H2318" s="3358">
        <v>663864.73</v>
      </c>
      <c r="I2318" s="1769">
        <f t="shared" si="519"/>
        <v>0.99232396113602384</v>
      </c>
    </row>
    <row r="2319" spans="1:9" ht="38.25">
      <c r="A2319" s="3475"/>
      <c r="B2319" s="3489"/>
      <c r="C2319" s="3579" t="s">
        <v>86</v>
      </c>
      <c r="D2319" s="1905" t="s">
        <v>941</v>
      </c>
      <c r="E2319" s="1661"/>
      <c r="F2319" s="1661">
        <v>0</v>
      </c>
      <c r="G2319" s="3580">
        <v>12000</v>
      </c>
      <c r="H2319" s="3358">
        <v>12000</v>
      </c>
      <c r="I2319" s="1769">
        <f t="shared" si="519"/>
        <v>1</v>
      </c>
    </row>
    <row r="2320" spans="1:9" ht="17.100000000000001" customHeight="1">
      <c r="A2320" s="3475"/>
      <c r="B2320" s="3489"/>
      <c r="C2320" s="1688"/>
      <c r="D2320" s="1688"/>
      <c r="E2320" s="3488"/>
      <c r="F2320" s="3488"/>
      <c r="G2320" s="3580"/>
      <c r="H2320" s="3358"/>
      <c r="I2320" s="1769"/>
    </row>
    <row r="2321" spans="1:9" ht="17.100000000000001" customHeight="1">
      <c r="A2321" s="3488"/>
      <c r="B2321" s="3489"/>
      <c r="C2321" s="4656" t="s">
        <v>791</v>
      </c>
      <c r="D2321" s="4657"/>
      <c r="E2321" s="3357">
        <f t="shared" ref="E2321:H2321" si="526">SUM(E2322:E2323)</f>
        <v>190000</v>
      </c>
      <c r="F2321" s="3357">
        <f t="shared" si="526"/>
        <v>210656</v>
      </c>
      <c r="G2321" s="3578">
        <f t="shared" si="526"/>
        <v>217400</v>
      </c>
      <c r="H2321" s="3358">
        <f t="shared" si="526"/>
        <v>160000</v>
      </c>
      <c r="I2321" s="1769">
        <f t="shared" si="519"/>
        <v>0.73597056117755288</v>
      </c>
    </row>
    <row r="2322" spans="1:9" ht="17.100000000000001" customHeight="1">
      <c r="A2322" s="3488"/>
      <c r="B2322" s="3489"/>
      <c r="C2322" s="1695" t="s">
        <v>1084</v>
      </c>
      <c r="D2322" s="1696" t="s">
        <v>1085</v>
      </c>
      <c r="E2322" s="3556">
        <v>156000</v>
      </c>
      <c r="F2322" s="3556">
        <v>187400</v>
      </c>
      <c r="G2322" s="2233">
        <v>187400</v>
      </c>
      <c r="H2322" s="3469">
        <v>130000</v>
      </c>
      <c r="I2322" s="1769">
        <f t="shared" si="519"/>
        <v>0.69370330843116323</v>
      </c>
    </row>
    <row r="2323" spans="1:9" ht="17.100000000000001" customHeight="1">
      <c r="A2323" s="3475"/>
      <c r="B2323" s="3489"/>
      <c r="C2323" s="3411" t="s">
        <v>955</v>
      </c>
      <c r="D2323" s="3412" t="s">
        <v>956</v>
      </c>
      <c r="E2323" s="3357">
        <v>34000</v>
      </c>
      <c r="F2323" s="3357">
        <v>23256</v>
      </c>
      <c r="G2323" s="3410">
        <v>30000</v>
      </c>
      <c r="H2323" s="3358">
        <v>30000</v>
      </c>
      <c r="I2323" s="3581">
        <f t="shared" si="519"/>
        <v>1</v>
      </c>
    </row>
    <row r="2324" spans="1:9" ht="17.100000000000001" customHeight="1">
      <c r="A2324" s="3475"/>
      <c r="B2324" s="3476"/>
      <c r="C2324" s="4620"/>
      <c r="D2324" s="4621"/>
      <c r="E2324" s="3556"/>
      <c r="F2324" s="3556"/>
      <c r="H2324" s="3469"/>
      <c r="I2324" s="1769"/>
    </row>
    <row r="2325" spans="1:9" ht="17.100000000000001" customHeight="1">
      <c r="A2325" s="3475"/>
      <c r="B2325" s="3476"/>
      <c r="C2325" s="4658" t="s">
        <v>793</v>
      </c>
      <c r="D2325" s="4659"/>
      <c r="E2325" s="3559">
        <f>E2326</f>
        <v>70000</v>
      </c>
      <c r="F2325" s="3559">
        <f t="shared" ref="F2325:H2325" si="527">F2326</f>
        <v>135000</v>
      </c>
      <c r="G2325" s="3559">
        <f t="shared" si="527"/>
        <v>147000</v>
      </c>
      <c r="H2325" s="3560">
        <f t="shared" si="527"/>
        <v>0</v>
      </c>
      <c r="I2325" s="1780">
        <f t="shared" si="519"/>
        <v>0</v>
      </c>
    </row>
    <row r="2326" spans="1:9" ht="17.100000000000001" customHeight="1">
      <c r="A2326" s="3475"/>
      <c r="B2326" s="3476"/>
      <c r="C2326" s="4644" t="s">
        <v>794</v>
      </c>
      <c r="D2326" s="4660"/>
      <c r="E2326" s="3357">
        <f>E2328</f>
        <v>70000</v>
      </c>
      <c r="F2326" s="3357">
        <f>SUM(F2327:F2328)</f>
        <v>135000</v>
      </c>
      <c r="G2326" s="3357">
        <f t="shared" ref="G2326:H2326" si="528">SUM(G2327:G2328)</f>
        <v>147000</v>
      </c>
      <c r="H2326" s="3358">
        <f t="shared" si="528"/>
        <v>0</v>
      </c>
      <c r="I2326" s="1769">
        <f t="shared" si="519"/>
        <v>0</v>
      </c>
    </row>
    <row r="2327" spans="1:9" ht="54.75" customHeight="1">
      <c r="A2327" s="3475"/>
      <c r="B2327" s="3476"/>
      <c r="C2327" s="2753" t="s">
        <v>1026</v>
      </c>
      <c r="D2327" s="3582" t="s">
        <v>1174</v>
      </c>
      <c r="E2327" s="3554"/>
      <c r="F2327" s="3554">
        <v>135000</v>
      </c>
      <c r="G2327" s="3577">
        <v>135000</v>
      </c>
      <c r="H2327" s="3358">
        <v>0</v>
      </c>
      <c r="I2327" s="1769">
        <f>H2327/G2327</f>
        <v>0</v>
      </c>
    </row>
    <row r="2328" spans="1:9" ht="45.75" customHeight="1" thickBot="1">
      <c r="A2328" s="1645"/>
      <c r="B2328" s="1849"/>
      <c r="C2328" s="3583" t="s">
        <v>88</v>
      </c>
      <c r="D2328" s="3584" t="s">
        <v>909</v>
      </c>
      <c r="E2328" s="1678">
        <v>70000</v>
      </c>
      <c r="F2328" s="1678">
        <v>0</v>
      </c>
      <c r="G2328" s="3390">
        <v>12000</v>
      </c>
      <c r="H2328" s="1747">
        <v>0</v>
      </c>
      <c r="I2328" s="1651">
        <f t="shared" si="519"/>
        <v>0</v>
      </c>
    </row>
    <row r="2329" spans="1:9" ht="17.100000000000001" customHeight="1" thickBot="1">
      <c r="A2329" s="3475"/>
      <c r="B2329" s="3455" t="s">
        <v>107</v>
      </c>
      <c r="C2329" s="3440"/>
      <c r="D2329" s="3441" t="s">
        <v>1175</v>
      </c>
      <c r="E2329" s="3572">
        <f t="shared" ref="E2329:H2329" si="529">E2330+E2335</f>
        <v>11228055</v>
      </c>
      <c r="F2329" s="3572">
        <f t="shared" si="529"/>
        <v>8428033</v>
      </c>
      <c r="G2329" s="3585">
        <f t="shared" si="529"/>
        <v>7553670</v>
      </c>
      <c r="H2329" s="3449">
        <f t="shared" si="529"/>
        <v>7389147.2400000002</v>
      </c>
      <c r="I2329" s="3487">
        <f t="shared" si="519"/>
        <v>0.97821949330590297</v>
      </c>
    </row>
    <row r="2330" spans="1:9" ht="17.100000000000001" customHeight="1">
      <c r="A2330" s="3475"/>
      <c r="B2330" s="4640"/>
      <c r="C2330" s="4633" t="s">
        <v>760</v>
      </c>
      <c r="D2330" s="4633"/>
      <c r="E2330" s="1615">
        <f t="shared" ref="E2330:H2330" si="530">E2331</f>
        <v>6228055</v>
      </c>
      <c r="F2330" s="1615">
        <f t="shared" si="530"/>
        <v>7028033</v>
      </c>
      <c r="G2330" s="1616">
        <f t="shared" si="530"/>
        <v>7273670</v>
      </c>
      <c r="H2330" s="1617">
        <f t="shared" si="530"/>
        <v>7215230.0800000001</v>
      </c>
      <c r="I2330" s="1780">
        <f t="shared" si="519"/>
        <v>0.99196555246526175</v>
      </c>
    </row>
    <row r="2331" spans="1:9" ht="17.100000000000001" customHeight="1">
      <c r="A2331" s="3475"/>
      <c r="B2331" s="4640"/>
      <c r="C2331" s="4612" t="s">
        <v>838</v>
      </c>
      <c r="D2331" s="4612"/>
      <c r="E2331" s="3357">
        <f>E2332+E2333</f>
        <v>6228055</v>
      </c>
      <c r="F2331" s="3357">
        <f t="shared" ref="F2331:H2331" si="531">F2332+F2333</f>
        <v>7028033</v>
      </c>
      <c r="G2331" s="3400">
        <f t="shared" si="531"/>
        <v>7273670</v>
      </c>
      <c r="H2331" s="3358">
        <f t="shared" si="531"/>
        <v>7215230.0800000001</v>
      </c>
      <c r="I2331" s="1769">
        <f t="shared" si="519"/>
        <v>0.99196555246526175</v>
      </c>
    </row>
    <row r="2332" spans="1:9" ht="17.100000000000001" customHeight="1">
      <c r="A2332" s="3475"/>
      <c r="B2332" s="4640"/>
      <c r="C2332" s="3557" t="s">
        <v>216</v>
      </c>
      <c r="D2332" s="3558" t="s">
        <v>1176</v>
      </c>
      <c r="E2332" s="3357">
        <v>5091055</v>
      </c>
      <c r="F2332" s="3357">
        <v>5978033</v>
      </c>
      <c r="G2332" s="3580">
        <v>6123670</v>
      </c>
      <c r="H2332" s="3358">
        <v>6073669.8899999997</v>
      </c>
      <c r="I2332" s="1769">
        <f t="shared" si="519"/>
        <v>0.99183494375105119</v>
      </c>
    </row>
    <row r="2333" spans="1:9" ht="27.75" customHeight="1">
      <c r="A2333" s="3475"/>
      <c r="B2333" s="4640"/>
      <c r="C2333" s="3557" t="s">
        <v>100</v>
      </c>
      <c r="D2333" s="3558" t="s">
        <v>897</v>
      </c>
      <c r="E2333" s="3357">
        <v>1137000</v>
      </c>
      <c r="F2333" s="3357">
        <v>1050000</v>
      </c>
      <c r="G2333" s="3580">
        <v>1150000</v>
      </c>
      <c r="H2333" s="3358">
        <v>1141560.19</v>
      </c>
      <c r="I2333" s="1769">
        <f t="shared" si="519"/>
        <v>0.9926610347826087</v>
      </c>
    </row>
    <row r="2334" spans="1:9">
      <c r="A2334" s="3475"/>
      <c r="B2334" s="3476"/>
      <c r="C2334" s="4638"/>
      <c r="D2334" s="4639"/>
      <c r="E2334" s="3357"/>
      <c r="F2334" s="3357"/>
      <c r="G2334" s="3580"/>
      <c r="H2334" s="3358"/>
      <c r="I2334" s="1769"/>
    </row>
    <row r="2335" spans="1:9" ht="15">
      <c r="A2335" s="3475"/>
      <c r="B2335" s="3476"/>
      <c r="C2335" s="4635" t="s">
        <v>793</v>
      </c>
      <c r="D2335" s="4655"/>
      <c r="E2335" s="1661">
        <f t="shared" ref="E2335:H2336" si="532">E2336</f>
        <v>5000000</v>
      </c>
      <c r="F2335" s="1615">
        <f t="shared" si="532"/>
        <v>1400000</v>
      </c>
      <c r="G2335" s="1616">
        <f t="shared" si="532"/>
        <v>280000</v>
      </c>
      <c r="H2335" s="1617">
        <f t="shared" si="532"/>
        <v>173917.16</v>
      </c>
      <c r="I2335" s="1780">
        <f t="shared" si="519"/>
        <v>0.62113271428571426</v>
      </c>
    </row>
    <row r="2336" spans="1:9" ht="15">
      <c r="A2336" s="3475"/>
      <c r="B2336" s="3476"/>
      <c r="C2336" s="4632" t="s">
        <v>794</v>
      </c>
      <c r="D2336" s="4647"/>
      <c r="E2336" s="3357">
        <f t="shared" si="532"/>
        <v>5000000</v>
      </c>
      <c r="F2336" s="3357">
        <f t="shared" si="532"/>
        <v>1400000</v>
      </c>
      <c r="G2336" s="3400">
        <f t="shared" si="532"/>
        <v>280000</v>
      </c>
      <c r="H2336" s="3358">
        <f t="shared" si="532"/>
        <v>173917.16</v>
      </c>
      <c r="I2336" s="1769">
        <f t="shared" si="519"/>
        <v>0.62113271428571426</v>
      </c>
    </row>
    <row r="2337" spans="1:9" ht="42" customHeight="1" thickBot="1">
      <c r="A2337" s="3496"/>
      <c r="B2337" s="1849"/>
      <c r="C2337" s="3586" t="s">
        <v>112</v>
      </c>
      <c r="D2337" s="3587" t="s">
        <v>965</v>
      </c>
      <c r="E2337" s="1678">
        <v>5000000</v>
      </c>
      <c r="F2337" s="1678">
        <v>1400000</v>
      </c>
      <c r="G2337" s="3588">
        <v>280000</v>
      </c>
      <c r="H2337" s="1747">
        <v>173917.16</v>
      </c>
      <c r="I2337" s="1651">
        <f t="shared" si="519"/>
        <v>0.62113271428571426</v>
      </c>
    </row>
    <row r="2338" spans="1:9" ht="17.100000000000001" customHeight="1" thickBot="1">
      <c r="A2338" s="3475"/>
      <c r="B2338" s="1794" t="s">
        <v>1177</v>
      </c>
      <c r="C2338" s="1795"/>
      <c r="D2338" s="1796" t="s">
        <v>109</v>
      </c>
      <c r="E2338" s="1797">
        <f>E2339</f>
        <v>7109000</v>
      </c>
      <c r="F2338" s="1797">
        <f>F2339+F2344</f>
        <v>7282000</v>
      </c>
      <c r="G2338" s="1797">
        <f>G2339+G2344</f>
        <v>7824896</v>
      </c>
      <c r="H2338" s="1935">
        <f t="shared" ref="H2338" si="533">H2339+H2344</f>
        <v>7824896</v>
      </c>
      <c r="I2338" s="1936">
        <f t="shared" si="519"/>
        <v>1</v>
      </c>
    </row>
    <row r="2339" spans="1:9" ht="17.100000000000001" customHeight="1">
      <c r="A2339" s="3475"/>
      <c r="B2339" s="4640"/>
      <c r="C2339" s="4633" t="s">
        <v>760</v>
      </c>
      <c r="D2339" s="4633"/>
      <c r="E2339" s="1616">
        <f t="shared" ref="E2339:H2339" si="534">E2340</f>
        <v>7109000</v>
      </c>
      <c r="F2339" s="3538">
        <f t="shared" si="534"/>
        <v>7282000</v>
      </c>
      <c r="G2339" s="1735">
        <f t="shared" si="534"/>
        <v>7811896</v>
      </c>
      <c r="H2339" s="3540">
        <f t="shared" si="534"/>
        <v>7811896</v>
      </c>
      <c r="I2339" s="1672">
        <f t="shared" si="519"/>
        <v>1</v>
      </c>
    </row>
    <row r="2340" spans="1:9" ht="17.100000000000001" customHeight="1">
      <c r="A2340" s="3475"/>
      <c r="B2340" s="4640"/>
      <c r="C2340" s="4612" t="s">
        <v>838</v>
      </c>
      <c r="D2340" s="4612"/>
      <c r="E2340" s="3578">
        <f t="shared" ref="E2340:H2340" si="535">SUM(E2341:E2342)</f>
        <v>7109000</v>
      </c>
      <c r="F2340" s="3357">
        <f t="shared" si="535"/>
        <v>7282000</v>
      </c>
      <c r="G2340" s="3545">
        <f t="shared" si="535"/>
        <v>7811896</v>
      </c>
      <c r="H2340" s="3358">
        <f t="shared" si="535"/>
        <v>7811896</v>
      </c>
      <c r="I2340" s="1664">
        <f t="shared" si="519"/>
        <v>1</v>
      </c>
    </row>
    <row r="2341" spans="1:9" ht="17.100000000000001" customHeight="1">
      <c r="A2341" s="3475"/>
      <c r="B2341" s="4640"/>
      <c r="C2341" s="3557" t="s">
        <v>216</v>
      </c>
      <c r="D2341" s="3558" t="s">
        <v>1176</v>
      </c>
      <c r="E2341" s="3578">
        <v>6394000</v>
      </c>
      <c r="F2341" s="3357">
        <v>7132000</v>
      </c>
      <c r="G2341" s="3577">
        <v>7468396</v>
      </c>
      <c r="H2341" s="3358">
        <v>7468396</v>
      </c>
      <c r="I2341" s="1664">
        <f t="shared" si="519"/>
        <v>1</v>
      </c>
    </row>
    <row r="2342" spans="1:9" ht="28.5" customHeight="1">
      <c r="A2342" s="3475"/>
      <c r="B2342" s="3496"/>
      <c r="C2342" s="3589" t="s">
        <v>100</v>
      </c>
      <c r="D2342" s="3575" t="s">
        <v>897</v>
      </c>
      <c r="E2342" s="3590">
        <v>715000</v>
      </c>
      <c r="F2342" s="3554">
        <v>150000</v>
      </c>
      <c r="G2342" s="2028">
        <v>343500</v>
      </c>
      <c r="H2342" s="3591">
        <v>343500</v>
      </c>
      <c r="I2342" s="3581">
        <f t="shared" si="519"/>
        <v>1</v>
      </c>
    </row>
    <row r="2343" spans="1:9">
      <c r="A2343" s="3475"/>
      <c r="B2343" s="3496"/>
      <c r="C2343" s="4620"/>
      <c r="D2343" s="4651"/>
      <c r="E2343" s="3410"/>
      <c r="F2343" s="3357"/>
      <c r="G2343" s="3577"/>
      <c r="H2343" s="3358"/>
      <c r="I2343" s="3581"/>
    </row>
    <row r="2344" spans="1:9" ht="17.25" customHeight="1">
      <c r="A2344" s="3488"/>
      <c r="B2344" s="3488"/>
      <c r="C2344" s="4642" t="s">
        <v>793</v>
      </c>
      <c r="D2344" s="4652"/>
      <c r="E2344" s="3592"/>
      <c r="F2344" s="3559">
        <f>F2345</f>
        <v>0</v>
      </c>
      <c r="G2344" s="3593">
        <f t="shared" ref="G2344:H2345" si="536">G2345</f>
        <v>13000</v>
      </c>
      <c r="H2344" s="3560">
        <f t="shared" si="536"/>
        <v>13000</v>
      </c>
      <c r="I2344" s="3594">
        <f t="shared" si="519"/>
        <v>1</v>
      </c>
    </row>
    <row r="2345" spans="1:9" ht="19.5" customHeight="1">
      <c r="A2345" s="3488"/>
      <c r="B2345" s="3488"/>
      <c r="C2345" s="4622" t="s">
        <v>794</v>
      </c>
      <c r="D2345" s="4653"/>
      <c r="E2345" s="1881"/>
      <c r="F2345" s="1661">
        <f>F2346</f>
        <v>0</v>
      </c>
      <c r="G2345" s="1768">
        <f t="shared" si="536"/>
        <v>13000</v>
      </c>
      <c r="H2345" s="1663">
        <f t="shared" si="536"/>
        <v>13000</v>
      </c>
      <c r="I2345" s="1769">
        <f t="shared" si="519"/>
        <v>1</v>
      </c>
    </row>
    <row r="2346" spans="1:9" ht="45.75" customHeight="1" thickBot="1">
      <c r="A2346" s="3475"/>
      <c r="B2346" s="3496"/>
      <c r="C2346" s="2682" t="s">
        <v>112</v>
      </c>
      <c r="D2346" s="2683" t="s">
        <v>965</v>
      </c>
      <c r="E2346" s="3390"/>
      <c r="F2346" s="1678">
        <v>0</v>
      </c>
      <c r="G2346" s="3595">
        <v>13000</v>
      </c>
      <c r="H2346" s="1747">
        <v>13000</v>
      </c>
      <c r="I2346" s="3596">
        <f t="shared" si="519"/>
        <v>1</v>
      </c>
    </row>
    <row r="2347" spans="1:9" ht="17.100000000000001" customHeight="1" thickBot="1">
      <c r="A2347" s="3475"/>
      <c r="B2347" s="3455" t="s">
        <v>110</v>
      </c>
      <c r="C2347" s="3440"/>
      <c r="D2347" s="3441" t="s">
        <v>111</v>
      </c>
      <c r="E2347" s="3572">
        <f>E2348+E2354</f>
        <v>9608386</v>
      </c>
      <c r="F2347" s="3572">
        <f t="shared" ref="F2347:H2347" si="537">F2348+F2354</f>
        <v>16348367</v>
      </c>
      <c r="G2347" s="3572">
        <f>G2348+G2354</f>
        <v>19038858</v>
      </c>
      <c r="H2347" s="3449">
        <f t="shared" si="537"/>
        <v>15796292.350000001</v>
      </c>
      <c r="I2347" s="3487">
        <f t="shared" si="519"/>
        <v>0.82968696704392675</v>
      </c>
    </row>
    <row r="2348" spans="1:9" ht="17.100000000000001" customHeight="1">
      <c r="A2348" s="3475"/>
      <c r="B2348" s="3489"/>
      <c r="C2348" s="4633" t="s">
        <v>760</v>
      </c>
      <c r="D2348" s="4633"/>
      <c r="E2348" s="1615">
        <f t="shared" ref="E2348:H2348" si="538">E2349</f>
        <v>8018694</v>
      </c>
      <c r="F2348" s="1615">
        <f t="shared" si="538"/>
        <v>8633809</v>
      </c>
      <c r="G2348" s="1616">
        <f t="shared" si="538"/>
        <v>9581863</v>
      </c>
      <c r="H2348" s="1617">
        <f t="shared" si="538"/>
        <v>9566991.1400000006</v>
      </c>
      <c r="I2348" s="1780">
        <f t="shared" si="519"/>
        <v>0.99844791560889579</v>
      </c>
    </row>
    <row r="2349" spans="1:9" ht="17.100000000000001" customHeight="1">
      <c r="A2349" s="3475"/>
      <c r="B2349" s="3489"/>
      <c r="C2349" s="4612" t="s">
        <v>838</v>
      </c>
      <c r="D2349" s="4612"/>
      <c r="E2349" s="3357">
        <f>SUM(E2350:E2352)</f>
        <v>8018694</v>
      </c>
      <c r="F2349" s="3357">
        <f t="shared" ref="F2349:H2349" si="539">SUM(F2350:F2352)</f>
        <v>8633809</v>
      </c>
      <c r="G2349" s="3400">
        <f t="shared" si="539"/>
        <v>9581863</v>
      </c>
      <c r="H2349" s="3358">
        <f t="shared" si="539"/>
        <v>9566991.1400000006</v>
      </c>
      <c r="I2349" s="1769">
        <f t="shared" si="519"/>
        <v>0.99844791560889579</v>
      </c>
    </row>
    <row r="2350" spans="1:9" ht="19.5" customHeight="1">
      <c r="A2350" s="3475"/>
      <c r="B2350" s="3489"/>
      <c r="C2350" s="3557" t="s">
        <v>216</v>
      </c>
      <c r="D2350" s="3558" t="s">
        <v>1176</v>
      </c>
      <c r="E2350" s="3357">
        <v>6763668</v>
      </c>
      <c r="F2350" s="3357">
        <v>7991243</v>
      </c>
      <c r="G2350" s="3580">
        <v>8445845</v>
      </c>
      <c r="H2350" s="3358">
        <v>8445845</v>
      </c>
      <c r="I2350" s="1769">
        <f t="shared" si="519"/>
        <v>1</v>
      </c>
    </row>
    <row r="2351" spans="1:9" ht="39" customHeight="1" thickBot="1">
      <c r="A2351" s="1644"/>
      <c r="B2351" s="1791"/>
      <c r="C2351" s="3597" t="s">
        <v>86</v>
      </c>
      <c r="D2351" s="3584" t="s">
        <v>941</v>
      </c>
      <c r="E2351" s="1678">
        <v>181868</v>
      </c>
      <c r="F2351" s="1678">
        <v>0</v>
      </c>
      <c r="G2351" s="3588">
        <v>145589</v>
      </c>
      <c r="H2351" s="1747">
        <v>144877</v>
      </c>
      <c r="I2351" s="1651">
        <f t="shared" si="519"/>
        <v>0.99510952063686131</v>
      </c>
    </row>
    <row r="2352" spans="1:9" ht="25.5">
      <c r="A2352" s="3475"/>
      <c r="B2352" s="3489"/>
      <c r="C2352" s="1659" t="s">
        <v>100</v>
      </c>
      <c r="D2352" s="1660" t="s">
        <v>897</v>
      </c>
      <c r="E2352" s="1661">
        <v>1073158</v>
      </c>
      <c r="F2352" s="1661">
        <v>642566</v>
      </c>
      <c r="G2352" s="1881">
        <v>990429</v>
      </c>
      <c r="H2352" s="1663">
        <v>976269.14</v>
      </c>
      <c r="I2352" s="1769">
        <f t="shared" si="519"/>
        <v>0.98570330634502823</v>
      </c>
    </row>
    <row r="2353" spans="1:9" ht="15">
      <c r="A2353" s="3475"/>
      <c r="B2353" s="3489"/>
      <c r="C2353" s="1688"/>
      <c r="D2353" s="1704"/>
      <c r="E2353" s="3598"/>
      <c r="F2353" s="3598"/>
      <c r="G2353" s="3580"/>
      <c r="H2353" s="3358"/>
      <c r="I2353" s="1769"/>
    </row>
    <row r="2354" spans="1:9" ht="15">
      <c r="A2354" s="3475"/>
      <c r="B2354" s="3489"/>
      <c r="C2354" s="4630" t="s">
        <v>793</v>
      </c>
      <c r="D2354" s="4654"/>
      <c r="E2354" s="3559">
        <f>SUM(E2355)</f>
        <v>1589692</v>
      </c>
      <c r="F2354" s="3559">
        <f t="shared" ref="F2354:H2354" si="540">SUM(F2355)</f>
        <v>7714558</v>
      </c>
      <c r="G2354" s="3599">
        <f t="shared" si="540"/>
        <v>9456995</v>
      </c>
      <c r="H2354" s="3560">
        <f t="shared" si="540"/>
        <v>6229301.21</v>
      </c>
      <c r="I2354" s="1780">
        <f t="shared" si="519"/>
        <v>0.65869773749483851</v>
      </c>
    </row>
    <row r="2355" spans="1:9" ht="15">
      <c r="A2355" s="3475"/>
      <c r="B2355" s="3489"/>
      <c r="C2355" s="4632" t="s">
        <v>794</v>
      </c>
      <c r="D2355" s="4647"/>
      <c r="E2355" s="3357">
        <f>SUM(E2356:E2360)</f>
        <v>1589692</v>
      </c>
      <c r="F2355" s="3357">
        <f>SUM(F2356:F2360)</f>
        <v>7714558</v>
      </c>
      <c r="G2355" s="3400">
        <f>SUM(G2356:G2360)</f>
        <v>9456995</v>
      </c>
      <c r="H2355" s="3358">
        <f>SUM(H2356:H2360)</f>
        <v>6229301.21</v>
      </c>
      <c r="I2355" s="1769">
        <f t="shared" si="519"/>
        <v>0.65869773749483851</v>
      </c>
    </row>
    <row r="2356" spans="1:9" ht="40.5" customHeight="1">
      <c r="A2356" s="3475"/>
      <c r="B2356" s="3489"/>
      <c r="C2356" s="3600" t="s">
        <v>112</v>
      </c>
      <c r="D2356" s="3601" t="s">
        <v>965</v>
      </c>
      <c r="E2356" s="3357">
        <v>1457903</v>
      </c>
      <c r="F2356" s="3357">
        <v>2388126</v>
      </c>
      <c r="G2356" s="3410">
        <v>3117300</v>
      </c>
      <c r="H2356" s="3358">
        <v>2266820.7999999998</v>
      </c>
      <c r="I2356" s="1769">
        <f t="shared" si="519"/>
        <v>0.72717441375549352</v>
      </c>
    </row>
    <row r="2357" spans="1:9" ht="39.75" customHeight="1">
      <c r="A2357" s="3475"/>
      <c r="B2357" s="3476"/>
      <c r="C2357" s="2012" t="s">
        <v>1178</v>
      </c>
      <c r="D2357" s="3602" t="s">
        <v>965</v>
      </c>
      <c r="E2357" s="1661">
        <v>62091</v>
      </c>
      <c r="F2357" s="1661">
        <v>5326432</v>
      </c>
      <c r="G2357" s="1881">
        <v>6159243</v>
      </c>
      <c r="H2357" s="1663">
        <v>3836480.41</v>
      </c>
      <c r="I2357" s="1769">
        <f t="shared" si="519"/>
        <v>0.62288180706622553</v>
      </c>
    </row>
    <row r="2358" spans="1:9" ht="55.5" customHeight="1">
      <c r="A2358" s="3475"/>
      <c r="B2358" s="3476"/>
      <c r="C2358" s="2012" t="s">
        <v>873</v>
      </c>
      <c r="D2358" s="3602" t="s">
        <v>1179</v>
      </c>
      <c r="E2358" s="1661"/>
      <c r="F2358" s="1661">
        <v>0</v>
      </c>
      <c r="G2358" s="1881">
        <v>54452</v>
      </c>
      <c r="H2358" s="1663">
        <v>0</v>
      </c>
      <c r="I2358" s="1769">
        <f t="shared" si="519"/>
        <v>0</v>
      </c>
    </row>
    <row r="2359" spans="1:9" ht="41.25" customHeight="1">
      <c r="A2359" s="3475"/>
      <c r="B2359" s="3476"/>
      <c r="C2359" s="3531" t="s">
        <v>88</v>
      </c>
      <c r="D2359" s="3603" t="s">
        <v>909</v>
      </c>
      <c r="E2359" s="3357">
        <v>65000</v>
      </c>
      <c r="F2359" s="3357">
        <v>0</v>
      </c>
      <c r="G2359" s="3410">
        <v>126000</v>
      </c>
      <c r="H2359" s="3358">
        <v>126000</v>
      </c>
      <c r="I2359" s="3581">
        <f t="shared" si="519"/>
        <v>1</v>
      </c>
    </row>
    <row r="2360" spans="1:9" ht="15" hidden="1" customHeight="1">
      <c r="A2360" s="3475"/>
      <c r="B2360" s="3476"/>
      <c r="C2360" s="3604" t="s">
        <v>739</v>
      </c>
      <c r="D2360" s="3605" t="s">
        <v>1180</v>
      </c>
      <c r="E2360" s="3357">
        <v>4698</v>
      </c>
      <c r="F2360" s="3357">
        <v>0</v>
      </c>
      <c r="G2360" s="3410"/>
      <c r="H2360" s="3358"/>
      <c r="I2360" s="1769" t="e">
        <f t="shared" si="519"/>
        <v>#DIV/0!</v>
      </c>
    </row>
    <row r="2361" spans="1:9" ht="22.5" customHeight="1">
      <c r="A2361" s="3475"/>
      <c r="B2361" s="3476"/>
      <c r="C2361" s="3531"/>
      <c r="D2361" s="3606"/>
      <c r="E2361" s="3357"/>
      <c r="F2361" s="3357"/>
      <c r="G2361" s="3410"/>
      <c r="H2361" s="3358"/>
      <c r="I2361" s="1769"/>
    </row>
    <row r="2362" spans="1:9" ht="27.75" customHeight="1">
      <c r="A2362" s="3488"/>
      <c r="B2362" s="3489"/>
      <c r="C2362" s="4648" t="s">
        <v>801</v>
      </c>
      <c r="D2362" s="4649"/>
      <c r="E2362" s="3357">
        <f>E2364+E2363</f>
        <v>661784</v>
      </c>
      <c r="F2362" s="3541">
        <f>F2364+F2363</f>
        <v>6307558</v>
      </c>
      <c r="G2362" s="3419">
        <f>G2364+G2363</f>
        <v>7356743</v>
      </c>
      <c r="H2362" s="3503">
        <f t="shared" ref="H2362" si="541">H2364+H2363</f>
        <v>4467295.1900000004</v>
      </c>
      <c r="I2362" s="3607">
        <f>H2362/G2362</f>
        <v>0.60723817455632201</v>
      </c>
    </row>
    <row r="2363" spans="1:9" ht="48" customHeight="1">
      <c r="A2363" s="3488"/>
      <c r="B2363" s="3489"/>
      <c r="C2363" s="1959" t="s">
        <v>112</v>
      </c>
      <c r="D2363" s="1905" t="s">
        <v>965</v>
      </c>
      <c r="E2363" s="1661">
        <v>599693</v>
      </c>
      <c r="F2363" s="2070">
        <v>981126</v>
      </c>
      <c r="G2363" s="1881">
        <v>1197500</v>
      </c>
      <c r="H2363" s="1663">
        <v>630814.78</v>
      </c>
      <c r="I2363" s="1769">
        <f t="shared" ref="I2363:I2364" si="542">H2363/G2363</f>
        <v>0.52677643423799581</v>
      </c>
    </row>
    <row r="2364" spans="1:9" ht="48.75" customHeight="1" thickBot="1">
      <c r="A2364" s="3496"/>
      <c r="B2364" s="1849"/>
      <c r="C2364" s="1644" t="s">
        <v>1178</v>
      </c>
      <c r="D2364" s="3608" t="s">
        <v>965</v>
      </c>
      <c r="E2364" s="1814">
        <v>62091</v>
      </c>
      <c r="F2364" s="1814">
        <v>5326432</v>
      </c>
      <c r="G2364" s="1902">
        <v>6159243</v>
      </c>
      <c r="H2364" s="1815">
        <v>3836480.41</v>
      </c>
      <c r="I2364" s="1651">
        <f t="shared" si="542"/>
        <v>0.62288180706622553</v>
      </c>
    </row>
    <row r="2365" spans="1:9" ht="17.100000000000001" customHeight="1" thickBot="1">
      <c r="A2365" s="3475"/>
      <c r="B2365" s="1794" t="s">
        <v>1181</v>
      </c>
      <c r="C2365" s="1795"/>
      <c r="D2365" s="1796" t="s">
        <v>1182</v>
      </c>
      <c r="E2365" s="1797">
        <f t="shared" ref="E2365:H2366" si="543">E2366</f>
        <v>642040</v>
      </c>
      <c r="F2365" s="1797">
        <f t="shared" si="543"/>
        <v>711421</v>
      </c>
      <c r="G2365" s="1934">
        <f t="shared" si="543"/>
        <v>725093</v>
      </c>
      <c r="H2365" s="1935">
        <f t="shared" si="543"/>
        <v>725093</v>
      </c>
      <c r="I2365" s="1936">
        <f t="shared" si="519"/>
        <v>1</v>
      </c>
    </row>
    <row r="2366" spans="1:9" ht="17.100000000000001" customHeight="1">
      <c r="A2366" s="3475"/>
      <c r="B2366" s="4640"/>
      <c r="C2366" s="4633" t="s">
        <v>760</v>
      </c>
      <c r="D2366" s="4633"/>
      <c r="E2366" s="1615">
        <f t="shared" si="543"/>
        <v>642040</v>
      </c>
      <c r="F2366" s="1615">
        <f t="shared" si="543"/>
        <v>711421</v>
      </c>
      <c r="G2366" s="1616">
        <f t="shared" si="543"/>
        <v>725093</v>
      </c>
      <c r="H2366" s="1617">
        <f t="shared" si="543"/>
        <v>725093</v>
      </c>
      <c r="I2366" s="1780">
        <f t="shared" si="519"/>
        <v>1</v>
      </c>
    </row>
    <row r="2367" spans="1:9" ht="17.100000000000001" customHeight="1">
      <c r="A2367" s="3475"/>
      <c r="B2367" s="4640"/>
      <c r="C2367" s="4612" t="s">
        <v>838</v>
      </c>
      <c r="D2367" s="4612"/>
      <c r="E2367" s="3357">
        <f t="shared" ref="E2367:H2367" si="544">E2369+E2370</f>
        <v>642040</v>
      </c>
      <c r="F2367" s="3357">
        <f t="shared" si="544"/>
        <v>711421</v>
      </c>
      <c r="G2367" s="3400">
        <f t="shared" si="544"/>
        <v>725093</v>
      </c>
      <c r="H2367" s="3358">
        <f t="shared" si="544"/>
        <v>725093</v>
      </c>
      <c r="I2367" s="1769">
        <f t="shared" si="519"/>
        <v>1</v>
      </c>
    </row>
    <row r="2368" spans="1:9" ht="27" hidden="1" customHeight="1">
      <c r="A2368" s="3475"/>
      <c r="B2368" s="4640"/>
      <c r="C2368" s="3546" t="s">
        <v>86</v>
      </c>
      <c r="D2368" s="3609" t="s">
        <v>941</v>
      </c>
      <c r="E2368" s="3357"/>
      <c r="F2368" s="3357">
        <v>0</v>
      </c>
      <c r="G2368" s="3580"/>
      <c r="H2368" s="3358"/>
      <c r="I2368" s="1769" t="e">
        <f t="shared" si="519"/>
        <v>#DIV/0!</v>
      </c>
    </row>
    <row r="2369" spans="1:9" ht="20.25" customHeight="1">
      <c r="A2369" s="3475"/>
      <c r="B2369" s="4640"/>
      <c r="C2369" s="3557" t="s">
        <v>216</v>
      </c>
      <c r="D2369" s="3558" t="s">
        <v>1176</v>
      </c>
      <c r="E2369" s="3357">
        <v>642040</v>
      </c>
      <c r="F2369" s="3357">
        <v>651421</v>
      </c>
      <c r="G2369" s="3580">
        <v>675325</v>
      </c>
      <c r="H2369" s="3358">
        <v>675325</v>
      </c>
      <c r="I2369" s="1769">
        <f t="shared" si="519"/>
        <v>1</v>
      </c>
    </row>
    <row r="2370" spans="1:9" ht="27" customHeight="1" thickBot="1">
      <c r="A2370" s="1645"/>
      <c r="B2370" s="4645"/>
      <c r="C2370" s="3583" t="s">
        <v>100</v>
      </c>
      <c r="D2370" s="3584" t="s">
        <v>897</v>
      </c>
      <c r="E2370" s="1678"/>
      <c r="F2370" s="1678">
        <v>60000</v>
      </c>
      <c r="G2370" s="3390">
        <v>49768</v>
      </c>
      <c r="H2370" s="1747">
        <v>49768</v>
      </c>
      <c r="I2370" s="1651">
        <f t="shared" si="519"/>
        <v>1</v>
      </c>
    </row>
    <row r="2371" spans="1:9" ht="17.100000000000001" customHeight="1" thickBot="1">
      <c r="A2371" s="3475"/>
      <c r="B2371" s="3455" t="s">
        <v>1183</v>
      </c>
      <c r="C2371" s="3440"/>
      <c r="D2371" s="3441" t="s">
        <v>738</v>
      </c>
      <c r="E2371" s="3572">
        <f t="shared" ref="E2371:H2371" si="545">E2372+E2377</f>
        <v>3270159</v>
      </c>
      <c r="F2371" s="3572">
        <f t="shared" si="545"/>
        <v>2398239</v>
      </c>
      <c r="G2371" s="3585">
        <f t="shared" si="545"/>
        <v>2642398</v>
      </c>
      <c r="H2371" s="3449">
        <f t="shared" si="545"/>
        <v>2276148</v>
      </c>
      <c r="I2371" s="3487">
        <f t="shared" si="519"/>
        <v>0.8613948390817735</v>
      </c>
    </row>
    <row r="2372" spans="1:9" ht="17.100000000000001" customHeight="1">
      <c r="A2372" s="3475"/>
      <c r="B2372" s="3610"/>
      <c r="C2372" s="4650" t="s">
        <v>760</v>
      </c>
      <c r="D2372" s="4650"/>
      <c r="E2372" s="3538">
        <f t="shared" ref="E2372:H2372" si="546">E2373</f>
        <v>2147675</v>
      </c>
      <c r="F2372" s="3538">
        <f t="shared" si="546"/>
        <v>1913239</v>
      </c>
      <c r="G2372" s="3539">
        <f t="shared" si="546"/>
        <v>1960398</v>
      </c>
      <c r="H2372" s="3540">
        <f t="shared" si="546"/>
        <v>1960398</v>
      </c>
      <c r="I2372" s="1780">
        <f t="shared" si="519"/>
        <v>1</v>
      </c>
    </row>
    <row r="2373" spans="1:9" ht="17.100000000000001" customHeight="1">
      <c r="A2373" s="3475"/>
      <c r="B2373" s="3489"/>
      <c r="C2373" s="4612" t="s">
        <v>838</v>
      </c>
      <c r="D2373" s="4612"/>
      <c r="E2373" s="3357">
        <f t="shared" ref="E2373:H2373" si="547">SUM(E2374:E2375)</f>
        <v>2147675</v>
      </c>
      <c r="F2373" s="3357">
        <f t="shared" si="547"/>
        <v>1913239</v>
      </c>
      <c r="G2373" s="3400">
        <f t="shared" si="547"/>
        <v>1960398</v>
      </c>
      <c r="H2373" s="3358">
        <f t="shared" si="547"/>
        <v>1960398</v>
      </c>
      <c r="I2373" s="1769">
        <f t="shared" si="519"/>
        <v>1</v>
      </c>
    </row>
    <row r="2374" spans="1:9" ht="17.100000000000001" customHeight="1">
      <c r="A2374" s="3475"/>
      <c r="B2374" s="3489"/>
      <c r="C2374" s="3557" t="s">
        <v>216</v>
      </c>
      <c r="D2374" s="3558" t="s">
        <v>1176</v>
      </c>
      <c r="E2374" s="3357">
        <v>1930900</v>
      </c>
      <c r="F2374" s="3357">
        <v>1870239</v>
      </c>
      <c r="G2374" s="3580">
        <v>1919898</v>
      </c>
      <c r="H2374" s="3358">
        <v>1919898</v>
      </c>
      <c r="I2374" s="1769">
        <f t="shared" si="519"/>
        <v>1</v>
      </c>
    </row>
    <row r="2375" spans="1:9" ht="25.5">
      <c r="A2375" s="3475"/>
      <c r="B2375" s="3489"/>
      <c r="C2375" s="3589" t="s">
        <v>100</v>
      </c>
      <c r="D2375" s="3575" t="s">
        <v>897</v>
      </c>
      <c r="E2375" s="3554">
        <v>216775</v>
      </c>
      <c r="F2375" s="3554">
        <v>43000</v>
      </c>
      <c r="G2375" s="3410">
        <v>40500</v>
      </c>
      <c r="H2375" s="3358">
        <v>40500</v>
      </c>
      <c r="I2375" s="1769">
        <f t="shared" si="519"/>
        <v>1</v>
      </c>
    </row>
    <row r="2376" spans="1:9">
      <c r="A2376" s="3475"/>
      <c r="B2376" s="3489"/>
      <c r="C2376" s="3611"/>
      <c r="D2376" s="3612"/>
      <c r="E2376" s="3373"/>
      <c r="F2376" s="3373"/>
      <c r="G2376" s="3410"/>
      <c r="H2376" s="3358"/>
      <c r="I2376" s="3581"/>
    </row>
    <row r="2377" spans="1:9" ht="16.5" customHeight="1">
      <c r="A2377" s="3475"/>
      <c r="B2377" s="3489"/>
      <c r="C2377" s="4635" t="s">
        <v>793</v>
      </c>
      <c r="D2377" s="4635"/>
      <c r="E2377" s="1615">
        <f t="shared" ref="E2377:H2378" si="548">E2378</f>
        <v>1122484</v>
      </c>
      <c r="F2377" s="1615">
        <f t="shared" si="548"/>
        <v>485000</v>
      </c>
      <c r="G2377" s="1616">
        <f t="shared" si="548"/>
        <v>682000</v>
      </c>
      <c r="H2377" s="1617">
        <f t="shared" si="548"/>
        <v>315750</v>
      </c>
      <c r="I2377" s="1780">
        <f t="shared" si="519"/>
        <v>0.46297653958944279</v>
      </c>
    </row>
    <row r="2378" spans="1:9" ht="15.75" customHeight="1">
      <c r="A2378" s="3475"/>
      <c r="B2378" s="3489"/>
      <c r="C2378" s="4632" t="s">
        <v>908</v>
      </c>
      <c r="D2378" s="4632"/>
      <c r="E2378" s="3357">
        <f t="shared" si="548"/>
        <v>1122484</v>
      </c>
      <c r="F2378" s="3357">
        <f t="shared" si="548"/>
        <v>485000</v>
      </c>
      <c r="G2378" s="3400">
        <f t="shared" si="548"/>
        <v>682000</v>
      </c>
      <c r="H2378" s="3358">
        <f t="shared" si="548"/>
        <v>315750</v>
      </c>
      <c r="I2378" s="1769">
        <f t="shared" si="519"/>
        <v>0.46297653958944279</v>
      </c>
    </row>
    <row r="2379" spans="1:9" ht="42.75" customHeight="1" thickBot="1">
      <c r="A2379" s="4646"/>
      <c r="B2379" s="1791"/>
      <c r="C2379" s="3583" t="s">
        <v>112</v>
      </c>
      <c r="D2379" s="3584" t="s">
        <v>965</v>
      </c>
      <c r="E2379" s="1678">
        <v>1122484</v>
      </c>
      <c r="F2379" s="1678">
        <v>485000</v>
      </c>
      <c r="G2379" s="3390">
        <v>682000</v>
      </c>
      <c r="H2379" s="1747">
        <v>315750</v>
      </c>
      <c r="I2379" s="1651">
        <f t="shared" si="519"/>
        <v>0.46297653958944279</v>
      </c>
    </row>
    <row r="2380" spans="1:9" ht="17.100000000000001" customHeight="1" thickBot="1">
      <c r="A2380" s="4646"/>
      <c r="B2380" s="3455" t="s">
        <v>197</v>
      </c>
      <c r="C2380" s="3440"/>
      <c r="D2380" s="3441" t="s">
        <v>113</v>
      </c>
      <c r="E2380" s="3572">
        <f>SUM(E2381+E2386)</f>
        <v>8809895</v>
      </c>
      <c r="F2380" s="3572">
        <f t="shared" ref="F2380:H2380" si="549">SUM(F2381+F2386)</f>
        <v>9255303</v>
      </c>
      <c r="G2380" s="3585">
        <f t="shared" si="549"/>
        <v>9890414</v>
      </c>
      <c r="H2380" s="3449">
        <f t="shared" si="549"/>
        <v>9885785.2300000004</v>
      </c>
      <c r="I2380" s="3487">
        <f t="shared" si="519"/>
        <v>0.99953199431287709</v>
      </c>
    </row>
    <row r="2381" spans="1:9" ht="17.100000000000001" customHeight="1">
      <c r="A2381" s="3475"/>
      <c r="B2381" s="4640"/>
      <c r="C2381" s="4633" t="s">
        <v>760</v>
      </c>
      <c r="D2381" s="4633"/>
      <c r="E2381" s="1615">
        <f t="shared" ref="E2381:H2381" si="550">E2382</f>
        <v>8598925</v>
      </c>
      <c r="F2381" s="1615">
        <f t="shared" si="550"/>
        <v>9155303</v>
      </c>
      <c r="G2381" s="1616">
        <f t="shared" si="550"/>
        <v>9739414</v>
      </c>
      <c r="H2381" s="1617">
        <f t="shared" si="550"/>
        <v>9739413.7300000004</v>
      </c>
      <c r="I2381" s="1780">
        <f t="shared" ref="I2381:I2445" si="551">H2381/G2381</f>
        <v>0.99999997227759296</v>
      </c>
    </row>
    <row r="2382" spans="1:9" ht="17.100000000000001" customHeight="1">
      <c r="A2382" s="3475"/>
      <c r="B2382" s="4640"/>
      <c r="C2382" s="4612" t="s">
        <v>838</v>
      </c>
      <c r="D2382" s="4612"/>
      <c r="E2382" s="3357">
        <f t="shared" ref="E2382:F2382" si="552">SUM(E2383:E2384)</f>
        <v>8598925</v>
      </c>
      <c r="F2382" s="3357">
        <f t="shared" si="552"/>
        <v>9155303</v>
      </c>
      <c r="G2382" s="3400">
        <f t="shared" ref="G2382:H2382" si="553">SUM(G2383:G2384)</f>
        <v>9739414</v>
      </c>
      <c r="H2382" s="3358">
        <f t="shared" si="553"/>
        <v>9739413.7300000004</v>
      </c>
      <c r="I2382" s="1769">
        <f t="shared" si="551"/>
        <v>0.99999997227759296</v>
      </c>
    </row>
    <row r="2383" spans="1:9" ht="17.100000000000001" customHeight="1">
      <c r="A2383" s="3475"/>
      <c r="B2383" s="4640"/>
      <c r="C2383" s="3557" t="s">
        <v>216</v>
      </c>
      <c r="D2383" s="3558" t="s">
        <v>1176</v>
      </c>
      <c r="E2383" s="3357">
        <v>8309140</v>
      </c>
      <c r="F2383" s="3357">
        <v>9045303</v>
      </c>
      <c r="G2383" s="3580">
        <v>9370914</v>
      </c>
      <c r="H2383" s="3358">
        <v>9370914</v>
      </c>
      <c r="I2383" s="1769">
        <f t="shared" si="551"/>
        <v>1</v>
      </c>
    </row>
    <row r="2384" spans="1:9" ht="25.5">
      <c r="A2384" s="3475"/>
      <c r="B2384" s="4640"/>
      <c r="C2384" s="3589" t="s">
        <v>100</v>
      </c>
      <c r="D2384" s="3575" t="s">
        <v>897</v>
      </c>
      <c r="E2384" s="3554">
        <v>289785</v>
      </c>
      <c r="F2384" s="3554">
        <v>110000</v>
      </c>
      <c r="G2384" s="3410">
        <v>368500</v>
      </c>
      <c r="H2384" s="3358">
        <v>368499.73</v>
      </c>
      <c r="I2384" s="1769">
        <f t="shared" si="551"/>
        <v>0.99999926729986421</v>
      </c>
    </row>
    <row r="2385" spans="1:9">
      <c r="A2385" s="3475"/>
      <c r="B2385" s="3476"/>
      <c r="C2385" s="4620"/>
      <c r="D2385" s="4621"/>
      <c r="E2385" s="3357"/>
      <c r="F2385" s="3357"/>
      <c r="G2385" s="3410"/>
      <c r="H2385" s="3358"/>
      <c r="I2385" s="1769"/>
    </row>
    <row r="2386" spans="1:9" ht="16.5" customHeight="1">
      <c r="A2386" s="3488"/>
      <c r="B2386" s="3489"/>
      <c r="C2386" s="4642" t="s">
        <v>793</v>
      </c>
      <c r="D2386" s="4643"/>
      <c r="E2386" s="3559">
        <f>E2387</f>
        <v>210970</v>
      </c>
      <c r="F2386" s="3559">
        <f t="shared" ref="F2386:H2386" si="554">F2387</f>
        <v>100000</v>
      </c>
      <c r="G2386" s="3599">
        <f t="shared" si="554"/>
        <v>151000</v>
      </c>
      <c r="H2386" s="3560">
        <f t="shared" si="554"/>
        <v>146371.5</v>
      </c>
      <c r="I2386" s="3594">
        <f t="shared" si="551"/>
        <v>0.9693476821192053</v>
      </c>
    </row>
    <row r="2387" spans="1:9" ht="16.5" customHeight="1">
      <c r="A2387" s="3488"/>
      <c r="B2387" s="3489"/>
      <c r="C2387" s="4644" t="s">
        <v>908</v>
      </c>
      <c r="D2387" s="4644"/>
      <c r="E2387" s="1661">
        <f t="shared" ref="E2387" si="555">E2388</f>
        <v>210970</v>
      </c>
      <c r="F2387" s="1661">
        <f>SUM(F2388:F2389)</f>
        <v>100000</v>
      </c>
      <c r="G2387" s="1661">
        <f t="shared" ref="G2387:H2387" si="556">SUM(G2388:G2389)</f>
        <v>151000</v>
      </c>
      <c r="H2387" s="1663">
        <f t="shared" si="556"/>
        <v>146371.5</v>
      </c>
      <c r="I2387" s="1769">
        <f t="shared" si="551"/>
        <v>0.9693476821192053</v>
      </c>
    </row>
    <row r="2388" spans="1:9" ht="42.75" customHeight="1">
      <c r="A2388" s="3496"/>
      <c r="B2388" s="3476"/>
      <c r="C2388" s="3613" t="s">
        <v>112</v>
      </c>
      <c r="D2388" s="3555" t="s">
        <v>965</v>
      </c>
      <c r="E2388" s="3357">
        <v>210970</v>
      </c>
      <c r="F2388" s="3357">
        <v>100000</v>
      </c>
      <c r="G2388" s="3410">
        <v>136000</v>
      </c>
      <c r="H2388" s="3358">
        <v>131371.5</v>
      </c>
      <c r="I2388" s="1769">
        <f t="shared" si="551"/>
        <v>0.96596691176470584</v>
      </c>
    </row>
    <row r="2389" spans="1:9" ht="42.75" customHeight="1" thickBot="1">
      <c r="A2389" s="3475"/>
      <c r="B2389" s="1849"/>
      <c r="C2389" s="2110" t="s">
        <v>88</v>
      </c>
      <c r="D2389" s="2111" t="s">
        <v>1184</v>
      </c>
      <c r="E2389" s="1814"/>
      <c r="F2389" s="1814">
        <v>0</v>
      </c>
      <c r="G2389" s="2532">
        <v>15000</v>
      </c>
      <c r="H2389" s="1815">
        <v>15000</v>
      </c>
      <c r="I2389" s="1769">
        <f t="shared" si="551"/>
        <v>1</v>
      </c>
    </row>
    <row r="2390" spans="1:9" ht="17.100000000000001" customHeight="1" thickBot="1">
      <c r="A2390" s="3475"/>
      <c r="B2390" s="1794" t="s">
        <v>195</v>
      </c>
      <c r="C2390" s="1795"/>
      <c r="D2390" s="1796" t="s">
        <v>196</v>
      </c>
      <c r="E2390" s="1797">
        <f t="shared" ref="E2390:H2390" si="557">E2391+E2397</f>
        <v>37663041</v>
      </c>
      <c r="F2390" s="1797">
        <f t="shared" si="557"/>
        <v>33956920</v>
      </c>
      <c r="G2390" s="1934">
        <f t="shared" si="557"/>
        <v>35467628</v>
      </c>
      <c r="H2390" s="1935">
        <f t="shared" si="557"/>
        <v>35166815.369999997</v>
      </c>
      <c r="I2390" s="1936">
        <f t="shared" si="551"/>
        <v>0.99151867077211919</v>
      </c>
    </row>
    <row r="2391" spans="1:9" ht="17.100000000000001" customHeight="1">
      <c r="A2391" s="3475"/>
      <c r="B2391" s="4640"/>
      <c r="C2391" s="4633" t="s">
        <v>760</v>
      </c>
      <c r="D2391" s="4633"/>
      <c r="E2391" s="1615">
        <f t="shared" ref="E2391:H2391" si="558">E2392</f>
        <v>26778122</v>
      </c>
      <c r="F2391" s="1615">
        <f t="shared" si="558"/>
        <v>28134931</v>
      </c>
      <c r="G2391" s="1616">
        <f t="shared" si="558"/>
        <v>29686907</v>
      </c>
      <c r="H2391" s="1617">
        <f t="shared" si="558"/>
        <v>29579456.82</v>
      </c>
      <c r="I2391" s="1780">
        <f t="shared" si="551"/>
        <v>0.99638055321829255</v>
      </c>
    </row>
    <row r="2392" spans="1:9" ht="17.100000000000001" customHeight="1">
      <c r="A2392" s="3475"/>
      <c r="B2392" s="4640"/>
      <c r="C2392" s="4612" t="s">
        <v>838</v>
      </c>
      <c r="D2392" s="4612"/>
      <c r="E2392" s="3357">
        <f t="shared" ref="E2392:H2392" si="559">SUM(E2393:E2395)</f>
        <v>26778122</v>
      </c>
      <c r="F2392" s="3357">
        <f t="shared" si="559"/>
        <v>28134931</v>
      </c>
      <c r="G2392" s="3400">
        <f t="shared" si="559"/>
        <v>29686907</v>
      </c>
      <c r="H2392" s="3358">
        <f t="shared" si="559"/>
        <v>29579456.82</v>
      </c>
      <c r="I2392" s="1769">
        <f t="shared" si="551"/>
        <v>0.99638055321829255</v>
      </c>
    </row>
    <row r="2393" spans="1:9" ht="17.100000000000001" customHeight="1" thickBot="1">
      <c r="A2393" s="1644"/>
      <c r="B2393" s="4645"/>
      <c r="C2393" s="3583" t="s">
        <v>216</v>
      </c>
      <c r="D2393" s="3584" t="s">
        <v>1176</v>
      </c>
      <c r="E2393" s="1678">
        <v>24167711</v>
      </c>
      <c r="F2393" s="1678">
        <v>27663231</v>
      </c>
      <c r="G2393" s="3390">
        <v>28695389</v>
      </c>
      <c r="H2393" s="1747">
        <v>28687218.870000001</v>
      </c>
      <c r="I2393" s="1651">
        <f t="shared" si="551"/>
        <v>0.99971528073726412</v>
      </c>
    </row>
    <row r="2394" spans="1:9" ht="29.25" customHeight="1">
      <c r="A2394" s="3475"/>
      <c r="B2394" s="3476"/>
      <c r="C2394" s="1659" t="s">
        <v>86</v>
      </c>
      <c r="D2394" s="1660" t="s">
        <v>941</v>
      </c>
      <c r="E2394" s="1661"/>
      <c r="F2394" s="1661">
        <v>150000</v>
      </c>
      <c r="G2394" s="1881">
        <v>150000</v>
      </c>
      <c r="H2394" s="1663">
        <v>150000</v>
      </c>
      <c r="I2394" s="1769">
        <f t="shared" si="551"/>
        <v>1</v>
      </c>
    </row>
    <row r="2395" spans="1:9" ht="27.75" customHeight="1">
      <c r="A2395" s="3475"/>
      <c r="B2395" s="3496"/>
      <c r="C2395" s="3557" t="s">
        <v>100</v>
      </c>
      <c r="D2395" s="3558" t="s">
        <v>897</v>
      </c>
      <c r="E2395" s="3357">
        <v>2610411</v>
      </c>
      <c r="F2395" s="3357">
        <v>321700</v>
      </c>
      <c r="G2395" s="3410">
        <v>841518</v>
      </c>
      <c r="H2395" s="3358">
        <v>742237.95</v>
      </c>
      <c r="I2395" s="1769">
        <f t="shared" si="551"/>
        <v>0.88202266618182845</v>
      </c>
    </row>
    <row r="2396" spans="1:9" ht="17.100000000000001" customHeight="1">
      <c r="A2396" s="3475"/>
      <c r="B2396" s="3496"/>
      <c r="C2396" s="1876"/>
      <c r="D2396" s="1877"/>
      <c r="E2396" s="1878"/>
      <c r="F2396" s="1878"/>
      <c r="G2396" s="3580"/>
      <c r="H2396" s="3358"/>
      <c r="I2396" s="1769"/>
    </row>
    <row r="2397" spans="1:9" ht="17.100000000000001" customHeight="1">
      <c r="A2397" s="3475"/>
      <c r="B2397" s="3496"/>
      <c r="C2397" s="4635" t="s">
        <v>793</v>
      </c>
      <c r="D2397" s="4635"/>
      <c r="E2397" s="1615">
        <f t="shared" ref="E2397:H2397" si="560">E2398</f>
        <v>10884919</v>
      </c>
      <c r="F2397" s="1615">
        <f t="shared" si="560"/>
        <v>5821989</v>
      </c>
      <c r="G2397" s="1616">
        <f t="shared" si="560"/>
        <v>5780721</v>
      </c>
      <c r="H2397" s="1617">
        <f t="shared" si="560"/>
        <v>5587358.5499999998</v>
      </c>
      <c r="I2397" s="1780">
        <f t="shared" si="551"/>
        <v>0.9665504614389796</v>
      </c>
    </row>
    <row r="2398" spans="1:9" ht="17.100000000000001" customHeight="1">
      <c r="A2398" s="3475"/>
      <c r="B2398" s="3496"/>
      <c r="C2398" s="4632" t="s">
        <v>794</v>
      </c>
      <c r="D2398" s="4632"/>
      <c r="E2398" s="3357">
        <f>E2399+E2401</f>
        <v>10884919</v>
      </c>
      <c r="F2398" s="3357">
        <f>SUM(F2399:F2401)</f>
        <v>5821989</v>
      </c>
      <c r="G2398" s="3357">
        <f t="shared" ref="G2398:H2398" si="561">SUM(G2399:G2401)</f>
        <v>5780721</v>
      </c>
      <c r="H2398" s="3358">
        <f t="shared" si="561"/>
        <v>5587358.5499999998</v>
      </c>
      <c r="I2398" s="1769">
        <f t="shared" si="551"/>
        <v>0.9665504614389796</v>
      </c>
    </row>
    <row r="2399" spans="1:9" ht="68.25" customHeight="1">
      <c r="A2399" s="3475"/>
      <c r="B2399" s="3496"/>
      <c r="C2399" s="3614" t="s">
        <v>872</v>
      </c>
      <c r="D2399" s="3555" t="s">
        <v>1172</v>
      </c>
      <c r="E2399" s="3357">
        <v>10884919</v>
      </c>
      <c r="F2399" s="3357">
        <v>145030</v>
      </c>
      <c r="G2399" s="3580">
        <v>19539</v>
      </c>
      <c r="H2399" s="3358">
        <v>19538.25</v>
      </c>
      <c r="I2399" s="1769">
        <f t="shared" si="551"/>
        <v>0.9999616152310763</v>
      </c>
    </row>
    <row r="2400" spans="1:9" ht="45" customHeight="1" thickBot="1">
      <c r="A2400" s="3475"/>
      <c r="B2400" s="3496"/>
      <c r="C2400" s="3411" t="s">
        <v>112</v>
      </c>
      <c r="D2400" s="3412" t="s">
        <v>965</v>
      </c>
      <c r="E2400" s="3357">
        <v>10884919</v>
      </c>
      <c r="F2400" s="3357">
        <v>5676959</v>
      </c>
      <c r="G2400" s="3410">
        <v>5761182</v>
      </c>
      <c r="H2400" s="3358">
        <v>5567820.2999999998</v>
      </c>
      <c r="I2400" s="3581">
        <f t="shared" si="551"/>
        <v>0.96643714779362977</v>
      </c>
    </row>
    <row r="2401" spans="1:9" ht="67.5" hidden="1" customHeight="1" thickBot="1">
      <c r="A2401" s="3475"/>
      <c r="B2401" s="3496"/>
      <c r="C2401" s="1695" t="s">
        <v>873</v>
      </c>
      <c r="D2401" s="1696" t="s">
        <v>874</v>
      </c>
      <c r="E2401" s="3556">
        <v>0</v>
      </c>
      <c r="F2401" s="3556">
        <v>0</v>
      </c>
      <c r="G2401" s="1881">
        <v>0</v>
      </c>
      <c r="H2401" s="1663">
        <v>0</v>
      </c>
      <c r="I2401" s="1725"/>
    </row>
    <row r="2402" spans="1:9" ht="17.100000000000001" customHeight="1" thickBot="1">
      <c r="A2402" s="3475"/>
      <c r="B2402" s="3455" t="s">
        <v>1185</v>
      </c>
      <c r="C2402" s="3615"/>
      <c r="D2402" s="3441" t="s">
        <v>1186</v>
      </c>
      <c r="E2402" s="3572">
        <f>SUM(E2403+E2416)</f>
        <v>4950000</v>
      </c>
      <c r="F2402" s="3572">
        <f>SUM(F2403+F2416)</f>
        <v>4076350</v>
      </c>
      <c r="G2402" s="3585">
        <f t="shared" ref="G2402:H2402" si="562">SUM(G2403+G2416)</f>
        <v>4299423</v>
      </c>
      <c r="H2402" s="3449">
        <f t="shared" si="562"/>
        <v>4225863.5600000005</v>
      </c>
      <c r="I2402" s="3487">
        <f t="shared" si="551"/>
        <v>0.98289085768020512</v>
      </c>
    </row>
    <row r="2403" spans="1:9" ht="15.75" customHeight="1">
      <c r="A2403" s="3475"/>
      <c r="B2403" s="4640"/>
      <c r="C2403" s="4633" t="s">
        <v>760</v>
      </c>
      <c r="D2403" s="4633"/>
      <c r="E2403" s="1615">
        <f>E2404+E2408+E2413</f>
        <v>4950000</v>
      </c>
      <c r="F2403" s="1615">
        <f>F2404+F2408+F2413</f>
        <v>4000000</v>
      </c>
      <c r="G2403" s="1616">
        <f t="shared" ref="G2403:H2403" si="563">G2404+G2408+G2413</f>
        <v>4200000</v>
      </c>
      <c r="H2403" s="1617">
        <f t="shared" si="563"/>
        <v>4126441.22</v>
      </c>
      <c r="I2403" s="1780">
        <f t="shared" si="551"/>
        <v>0.98248600476190484</v>
      </c>
    </row>
    <row r="2404" spans="1:9" ht="15.75" hidden="1" customHeight="1">
      <c r="A2404" s="3475"/>
      <c r="B2404" s="4640"/>
      <c r="C2404" s="4617" t="s">
        <v>761</v>
      </c>
      <c r="D2404" s="4617"/>
      <c r="E2404" s="1661">
        <f>E2405</f>
        <v>0</v>
      </c>
      <c r="F2404" s="1661">
        <f t="shared" ref="F2404:H2405" si="564">F2405</f>
        <v>0</v>
      </c>
      <c r="G2404" s="1760">
        <f t="shared" si="564"/>
        <v>0</v>
      </c>
      <c r="H2404" s="1663">
        <f t="shared" si="564"/>
        <v>0</v>
      </c>
      <c r="I2404" s="1769"/>
    </row>
    <row r="2405" spans="1:9" hidden="1">
      <c r="A2405" s="3475"/>
      <c r="B2405" s="4640"/>
      <c r="C2405" s="4641" t="s">
        <v>769</v>
      </c>
      <c r="D2405" s="4641"/>
      <c r="E2405" s="1661">
        <f>E2406</f>
        <v>0</v>
      </c>
      <c r="F2405" s="1661">
        <f t="shared" si="564"/>
        <v>0</v>
      </c>
      <c r="G2405" s="1760">
        <f t="shared" si="564"/>
        <v>0</v>
      </c>
      <c r="H2405" s="1663">
        <f t="shared" si="564"/>
        <v>0</v>
      </c>
      <c r="I2405" s="1769"/>
    </row>
    <row r="2406" spans="1:9" ht="25.5" hidden="1">
      <c r="A2406" s="3475"/>
      <c r="B2406" s="4640"/>
      <c r="C2406" s="3616" t="s">
        <v>1062</v>
      </c>
      <c r="D2406" s="3617" t="s">
        <v>1063</v>
      </c>
      <c r="E2406" s="1661"/>
      <c r="F2406" s="1661">
        <v>0</v>
      </c>
      <c r="G2406" s="1760"/>
      <c r="H2406" s="1663"/>
      <c r="I2406" s="1769"/>
    </row>
    <row r="2407" spans="1:9" hidden="1">
      <c r="A2407" s="3475"/>
      <c r="B2407" s="4640"/>
      <c r="C2407" s="3618"/>
      <c r="D2407" s="3619"/>
      <c r="E2407" s="1615"/>
      <c r="F2407" s="1615"/>
      <c r="G2407" s="1616"/>
      <c r="H2407" s="1617"/>
      <c r="I2407" s="1769"/>
    </row>
    <row r="2408" spans="1:9" ht="15.75" customHeight="1">
      <c r="A2408" s="3475"/>
      <c r="B2408" s="4640"/>
      <c r="C2408" s="4612" t="s">
        <v>838</v>
      </c>
      <c r="D2408" s="4612"/>
      <c r="E2408" s="3357">
        <f>SUM(E2409:E2411)</f>
        <v>4560000</v>
      </c>
      <c r="F2408" s="3357">
        <f t="shared" ref="F2408:H2408" si="565">SUM(F2409:F2411)</f>
        <v>4000000</v>
      </c>
      <c r="G2408" s="3400">
        <f t="shared" si="565"/>
        <v>4200000</v>
      </c>
      <c r="H2408" s="3358">
        <f t="shared" si="565"/>
        <v>4126441.22</v>
      </c>
      <c r="I2408" s="1769">
        <f t="shared" si="551"/>
        <v>0.98248600476190484</v>
      </c>
    </row>
    <row r="2409" spans="1:9" ht="41.25" hidden="1" customHeight="1">
      <c r="A2409" s="3475"/>
      <c r="B2409" s="3476"/>
      <c r="C2409" s="3546" t="s">
        <v>86</v>
      </c>
      <c r="D2409" s="3609" t="s">
        <v>888</v>
      </c>
      <c r="E2409" s="3357">
        <v>0</v>
      </c>
      <c r="F2409" s="3357">
        <v>0</v>
      </c>
      <c r="G2409" s="3580">
        <v>0</v>
      </c>
      <c r="H2409" s="3358">
        <v>0</v>
      </c>
      <c r="I2409" s="1769" t="e">
        <f t="shared" si="551"/>
        <v>#DIV/0!</v>
      </c>
    </row>
    <row r="2410" spans="1:9" ht="40.5" customHeight="1">
      <c r="A2410" s="3488"/>
      <c r="B2410" s="3488"/>
      <c r="C2410" s="3614" t="s">
        <v>1187</v>
      </c>
      <c r="D2410" s="3555" t="s">
        <v>1188</v>
      </c>
      <c r="E2410" s="3357">
        <v>4229000</v>
      </c>
      <c r="F2410" s="3357">
        <v>4000000</v>
      </c>
      <c r="G2410" s="3580">
        <v>3679000</v>
      </c>
      <c r="H2410" s="3358">
        <v>3611794.6</v>
      </c>
      <c r="I2410" s="1769">
        <f t="shared" si="551"/>
        <v>0.98173269910301719</v>
      </c>
    </row>
    <row r="2411" spans="1:9" ht="54" customHeight="1">
      <c r="A2411" s="3488"/>
      <c r="B2411" s="3488"/>
      <c r="C2411" s="1695" t="s">
        <v>1189</v>
      </c>
      <c r="D2411" s="1696" t="s">
        <v>1190</v>
      </c>
      <c r="E2411" s="3556">
        <v>331000</v>
      </c>
      <c r="F2411" s="3556">
        <v>0</v>
      </c>
      <c r="G2411" s="1881">
        <v>521000</v>
      </c>
      <c r="H2411" s="1663">
        <v>514646.62</v>
      </c>
      <c r="I2411" s="1769">
        <f t="shared" si="551"/>
        <v>0.9878054126679463</v>
      </c>
    </row>
    <row r="2412" spans="1:9" hidden="1">
      <c r="A2412" s="3475"/>
      <c r="B2412" s="3496"/>
      <c r="C2412" s="3611"/>
      <c r="D2412" s="3620"/>
      <c r="E2412" s="3373"/>
      <c r="F2412" s="3620"/>
      <c r="G2412" s="3580"/>
      <c r="H2412" s="3358"/>
      <c r="I2412" s="1769" t="e">
        <f t="shared" si="551"/>
        <v>#DIV/0!</v>
      </c>
    </row>
    <row r="2413" spans="1:9" hidden="1">
      <c r="A2413" s="3475"/>
      <c r="B2413" s="3496"/>
      <c r="C2413" s="4636" t="s">
        <v>791</v>
      </c>
      <c r="D2413" s="4637"/>
      <c r="E2413" s="1661">
        <f>E2414</f>
        <v>390000</v>
      </c>
      <c r="F2413" s="3357">
        <f>F2414</f>
        <v>0</v>
      </c>
      <c r="G2413" s="3580"/>
      <c r="H2413" s="3358"/>
      <c r="I2413" s="1769" t="e">
        <f t="shared" si="551"/>
        <v>#DIV/0!</v>
      </c>
    </row>
    <row r="2414" spans="1:9" hidden="1">
      <c r="A2414" s="3475"/>
      <c r="B2414" s="3496"/>
      <c r="C2414" s="1659" t="s">
        <v>1084</v>
      </c>
      <c r="D2414" s="1660" t="s">
        <v>1085</v>
      </c>
      <c r="E2414" s="3556">
        <v>390000</v>
      </c>
      <c r="F2414" s="3556">
        <v>0</v>
      </c>
      <c r="G2414" s="3580"/>
      <c r="H2414" s="3358"/>
      <c r="I2414" s="1769" t="e">
        <f t="shared" si="551"/>
        <v>#DIV/0!</v>
      </c>
    </row>
    <row r="2415" spans="1:9" ht="15" customHeight="1">
      <c r="A2415" s="3475"/>
      <c r="B2415" s="3496"/>
      <c r="C2415" s="4638"/>
      <c r="D2415" s="4639"/>
      <c r="E2415" s="3357"/>
      <c r="F2415" s="3357"/>
      <c r="G2415" s="3580"/>
      <c r="H2415" s="3358"/>
      <c r="I2415" s="1769"/>
    </row>
    <row r="2416" spans="1:9" ht="16.5" customHeight="1">
      <c r="A2416" s="3475"/>
      <c r="B2416" s="3496"/>
      <c r="C2416" s="4635" t="s">
        <v>793</v>
      </c>
      <c r="D2416" s="4635"/>
      <c r="E2416" s="1661">
        <f>E2417</f>
        <v>0</v>
      </c>
      <c r="F2416" s="1615">
        <f>F2417</f>
        <v>76350</v>
      </c>
      <c r="G2416" s="1616">
        <f t="shared" ref="G2416:H2417" si="566">G2417</f>
        <v>99423</v>
      </c>
      <c r="H2416" s="1617">
        <f t="shared" si="566"/>
        <v>99422.34</v>
      </c>
      <c r="I2416" s="1780">
        <f t="shared" si="551"/>
        <v>0.9999933616969916</v>
      </c>
    </row>
    <row r="2417" spans="1:9" ht="17.25" customHeight="1">
      <c r="A2417" s="3475"/>
      <c r="B2417" s="3496"/>
      <c r="C2417" s="4632" t="s">
        <v>794</v>
      </c>
      <c r="D2417" s="4632"/>
      <c r="E2417" s="3554">
        <f>E2418</f>
        <v>0</v>
      </c>
      <c r="F2417" s="3554">
        <f>F2418</f>
        <v>76350</v>
      </c>
      <c r="G2417" s="3590">
        <f t="shared" si="566"/>
        <v>99423</v>
      </c>
      <c r="H2417" s="3591">
        <f t="shared" si="566"/>
        <v>99422.34</v>
      </c>
      <c r="I2417" s="1769">
        <f t="shared" si="551"/>
        <v>0.9999933616969916</v>
      </c>
    </row>
    <row r="2418" spans="1:9" ht="66.75" customHeight="1" thickBot="1">
      <c r="A2418" s="1645"/>
      <c r="B2418" s="1645"/>
      <c r="C2418" s="2110" t="s">
        <v>873</v>
      </c>
      <c r="D2418" s="2111" t="s">
        <v>874</v>
      </c>
      <c r="E2418" s="1678">
        <v>0</v>
      </c>
      <c r="F2418" s="1678">
        <v>76350</v>
      </c>
      <c r="G2418" s="3390">
        <v>99423</v>
      </c>
      <c r="H2418" s="1747">
        <v>99422.34</v>
      </c>
      <c r="I2418" s="1651">
        <f t="shared" si="551"/>
        <v>0.9999933616969916</v>
      </c>
    </row>
    <row r="2419" spans="1:9" ht="20.25" customHeight="1" thickBot="1">
      <c r="A2419" s="3475"/>
      <c r="B2419" s="1794" t="s">
        <v>1191</v>
      </c>
      <c r="C2419" s="1795"/>
      <c r="D2419" s="1796" t="s">
        <v>95</v>
      </c>
      <c r="E2419" s="1797">
        <f>E2420+E2457</f>
        <v>4962644</v>
      </c>
      <c r="F2419" s="1797">
        <f>F2420+F2457</f>
        <v>2104828</v>
      </c>
      <c r="G2419" s="1934">
        <f>G2420+G2457</f>
        <v>1908990</v>
      </c>
      <c r="H2419" s="1935">
        <f t="shared" ref="H2419" si="567">H2420+H2457</f>
        <v>1191502.69</v>
      </c>
      <c r="I2419" s="1936">
        <f t="shared" si="551"/>
        <v>0.624153447634613</v>
      </c>
    </row>
    <row r="2420" spans="1:9" ht="17.100000000000001" customHeight="1">
      <c r="A2420" s="3475"/>
      <c r="B2420" s="3621"/>
      <c r="C2420" s="4635" t="s">
        <v>760</v>
      </c>
      <c r="D2420" s="4635"/>
      <c r="E2420" s="1615">
        <f>E2421+E2435+E2431</f>
        <v>875673</v>
      </c>
      <c r="F2420" s="1615">
        <f>F2421+F2435+F2431</f>
        <v>1077200</v>
      </c>
      <c r="G2420" s="1616">
        <f t="shared" ref="G2420:H2420" si="568">G2421+G2435+G2431</f>
        <v>1132192</v>
      </c>
      <c r="H2420" s="1617">
        <f t="shared" si="568"/>
        <v>451509.22000000003</v>
      </c>
      <c r="I2420" s="1780">
        <f t="shared" si="551"/>
        <v>0.39879209533365367</v>
      </c>
    </row>
    <row r="2421" spans="1:9" ht="17.100000000000001" customHeight="1">
      <c r="A2421" s="3475"/>
      <c r="B2421" s="3621"/>
      <c r="C2421" s="4612" t="s">
        <v>761</v>
      </c>
      <c r="D2421" s="4612"/>
      <c r="E2421" s="3357">
        <f t="shared" ref="E2421:H2421" si="569">SUM(E2422,E2427)</f>
        <v>594780</v>
      </c>
      <c r="F2421" s="3357">
        <f>SUM(F2422,F2427)</f>
        <v>1065200</v>
      </c>
      <c r="G2421" s="3400">
        <f t="shared" si="569"/>
        <v>966300</v>
      </c>
      <c r="H2421" s="3358">
        <f t="shared" si="569"/>
        <v>304043.14</v>
      </c>
      <c r="I2421" s="1769">
        <f t="shared" si="551"/>
        <v>0.31464673496843631</v>
      </c>
    </row>
    <row r="2422" spans="1:9" ht="17.100000000000001" customHeight="1">
      <c r="A2422" s="3475"/>
      <c r="B2422" s="3621"/>
      <c r="C2422" s="4618" t="s">
        <v>762</v>
      </c>
      <c r="D2422" s="4618"/>
      <c r="E2422" s="3357">
        <f t="shared" ref="E2422" si="570">SUM(E2423:E2425)</f>
        <v>10000</v>
      </c>
      <c r="F2422" s="3541">
        <f>SUM(F2423:F2425)</f>
        <v>155300</v>
      </c>
      <c r="G2422" s="3419">
        <f t="shared" ref="G2422:H2422" si="571">SUM(G2423:G2425)</f>
        <v>192500</v>
      </c>
      <c r="H2422" s="3503">
        <f t="shared" si="571"/>
        <v>42368.800000000003</v>
      </c>
      <c r="I2422" s="1783">
        <f t="shared" si="551"/>
        <v>0.22009766233766234</v>
      </c>
    </row>
    <row r="2423" spans="1:9" ht="17.100000000000001" customHeight="1">
      <c r="A2423" s="3475"/>
      <c r="B2423" s="3621"/>
      <c r="C2423" s="3557" t="s">
        <v>62</v>
      </c>
      <c r="D2423" s="3558" t="s">
        <v>765</v>
      </c>
      <c r="E2423" s="3357">
        <v>762</v>
      </c>
      <c r="F2423" s="3357">
        <v>10691</v>
      </c>
      <c r="G2423" s="3580">
        <v>14117</v>
      </c>
      <c r="H2423" s="3358">
        <v>343.8</v>
      </c>
      <c r="I2423" s="1769">
        <f t="shared" si="551"/>
        <v>2.4353616207409508E-2</v>
      </c>
    </row>
    <row r="2424" spans="1:9" ht="26.25" customHeight="1">
      <c r="A2424" s="3475"/>
      <c r="B2424" s="3621"/>
      <c r="C2424" s="3613" t="s">
        <v>63</v>
      </c>
      <c r="D2424" s="3555" t="s">
        <v>766</v>
      </c>
      <c r="E2424" s="3357">
        <v>78</v>
      </c>
      <c r="F2424" s="3357">
        <v>1094</v>
      </c>
      <c r="G2424" s="3410">
        <v>1506</v>
      </c>
      <c r="H2424" s="3358">
        <v>0</v>
      </c>
      <c r="I2424" s="1769">
        <f t="shared" si="551"/>
        <v>0</v>
      </c>
    </row>
    <row r="2425" spans="1:9" ht="17.100000000000001" customHeight="1">
      <c r="A2425" s="3475"/>
      <c r="B2425" s="3621"/>
      <c r="C2425" s="1659" t="s">
        <v>324</v>
      </c>
      <c r="D2425" s="1660" t="s">
        <v>767</v>
      </c>
      <c r="E2425" s="1661">
        <v>9160</v>
      </c>
      <c r="F2425" s="1661">
        <v>143515</v>
      </c>
      <c r="G2425" s="1881">
        <v>176877</v>
      </c>
      <c r="H2425" s="1663">
        <v>42025</v>
      </c>
      <c r="I2425" s="1769">
        <f t="shared" si="551"/>
        <v>0.23759448656410953</v>
      </c>
    </row>
    <row r="2426" spans="1:9" ht="17.100000000000001" customHeight="1">
      <c r="A2426" s="3475"/>
      <c r="B2426" s="3621"/>
      <c r="C2426" s="3622"/>
      <c r="D2426" s="3550"/>
      <c r="E2426" s="3357"/>
      <c r="F2426" s="3357"/>
      <c r="G2426" s="3580"/>
      <c r="H2426" s="3358"/>
      <c r="I2426" s="1769"/>
    </row>
    <row r="2427" spans="1:9" ht="17.100000000000001" customHeight="1">
      <c r="A2427" s="3475"/>
      <c r="B2427" s="3621"/>
      <c r="C2427" s="4634" t="s">
        <v>769</v>
      </c>
      <c r="D2427" s="4634"/>
      <c r="E2427" s="1661">
        <f t="shared" ref="E2427:H2427" si="572">SUM(E2428:E2429)</f>
        <v>584780</v>
      </c>
      <c r="F2427" s="1942">
        <f t="shared" si="572"/>
        <v>909900</v>
      </c>
      <c r="G2427" s="1943">
        <f t="shared" si="572"/>
        <v>773800</v>
      </c>
      <c r="H2427" s="1944">
        <f t="shared" si="572"/>
        <v>261674.34</v>
      </c>
      <c r="I2427" s="1783">
        <f t="shared" si="551"/>
        <v>0.33816792452830186</v>
      </c>
    </row>
    <row r="2428" spans="1:9" ht="17.100000000000001" customHeight="1">
      <c r="A2428" s="3475"/>
      <c r="B2428" s="3621"/>
      <c r="C2428" s="3557" t="s">
        <v>22</v>
      </c>
      <c r="D2428" s="3558" t="s">
        <v>771</v>
      </c>
      <c r="E2428" s="3357">
        <v>31980</v>
      </c>
      <c r="F2428" s="3357">
        <v>19000</v>
      </c>
      <c r="G2428" s="3580">
        <v>29000</v>
      </c>
      <c r="H2428" s="3358">
        <v>7398</v>
      </c>
      <c r="I2428" s="1769">
        <f t="shared" si="551"/>
        <v>0.25510344827586207</v>
      </c>
    </row>
    <row r="2429" spans="1:9" ht="17.100000000000001" customHeight="1">
      <c r="A2429" s="3475"/>
      <c r="B2429" s="3621"/>
      <c r="C2429" s="3557" t="s">
        <v>23</v>
      </c>
      <c r="D2429" s="3558" t="s">
        <v>776</v>
      </c>
      <c r="E2429" s="3357">
        <v>552800</v>
      </c>
      <c r="F2429" s="3357">
        <v>890900</v>
      </c>
      <c r="G2429" s="3580">
        <v>744800</v>
      </c>
      <c r="H2429" s="3358">
        <v>254276.34</v>
      </c>
      <c r="I2429" s="1769">
        <f t="shared" si="551"/>
        <v>0.34140217508055853</v>
      </c>
    </row>
    <row r="2430" spans="1:9" ht="17.100000000000001" customHeight="1">
      <c r="A2430" s="3475"/>
      <c r="B2430" s="3623"/>
      <c r="C2430" s="3624"/>
      <c r="D2430" s="3625"/>
      <c r="E2430" s="3357"/>
      <c r="F2430" s="3357"/>
      <c r="G2430" s="3580"/>
      <c r="H2430" s="3358"/>
      <c r="I2430" s="1769"/>
    </row>
    <row r="2431" spans="1:9">
      <c r="A2431" s="3475"/>
      <c r="B2431" s="3623"/>
      <c r="C2431" s="4612" t="s">
        <v>838</v>
      </c>
      <c r="D2431" s="4612"/>
      <c r="E2431" s="3357">
        <f>SUM(E2432:E2433)</f>
        <v>59800</v>
      </c>
      <c r="F2431" s="3357">
        <f t="shared" ref="F2431:H2431" si="573">SUM(F2432:F2433)</f>
        <v>0</v>
      </c>
      <c r="G2431" s="3357">
        <f t="shared" si="573"/>
        <v>106000</v>
      </c>
      <c r="H2431" s="3358">
        <f t="shared" si="573"/>
        <v>105725</v>
      </c>
      <c r="I2431" s="1769">
        <f t="shared" si="551"/>
        <v>0.99740566037735845</v>
      </c>
    </row>
    <row r="2432" spans="1:9" ht="54.75" customHeight="1">
      <c r="A2432" s="3475"/>
      <c r="B2432" s="3623"/>
      <c r="C2432" s="3557" t="s">
        <v>44</v>
      </c>
      <c r="D2432" s="3558" t="s">
        <v>850</v>
      </c>
      <c r="E2432" s="3357"/>
      <c r="F2432" s="3357">
        <v>0</v>
      </c>
      <c r="G2432" s="3580">
        <v>37000</v>
      </c>
      <c r="H2432" s="3358">
        <v>37000</v>
      </c>
      <c r="I2432" s="1769">
        <f t="shared" si="551"/>
        <v>1</v>
      </c>
    </row>
    <row r="2433" spans="1:9" ht="39" customHeight="1">
      <c r="A2433" s="3488"/>
      <c r="B2433" s="3621"/>
      <c r="C2433" s="3614" t="s">
        <v>86</v>
      </c>
      <c r="D2433" s="3555" t="s">
        <v>941</v>
      </c>
      <c r="E2433" s="3626">
        <v>59800</v>
      </c>
      <c r="F2433" s="3357">
        <v>0</v>
      </c>
      <c r="G2433" s="3580">
        <v>69000</v>
      </c>
      <c r="H2433" s="3358">
        <v>68725</v>
      </c>
      <c r="I2433" s="1769">
        <f t="shared" si="551"/>
        <v>0.99601449275362319</v>
      </c>
    </row>
    <row r="2434" spans="1:9">
      <c r="A2434" s="3488"/>
      <c r="B2434" s="3621"/>
      <c r="C2434" s="2753"/>
      <c r="D2434" s="2805"/>
      <c r="E2434" s="1661"/>
      <c r="F2434" s="1661"/>
      <c r="G2434" s="1881"/>
      <c r="H2434" s="1663"/>
      <c r="I2434" s="1769"/>
    </row>
    <row r="2435" spans="1:9" ht="27.75" customHeight="1">
      <c r="A2435" s="3475"/>
      <c r="B2435" s="3623"/>
      <c r="C2435" s="4612" t="s">
        <v>803</v>
      </c>
      <c r="D2435" s="4612"/>
      <c r="E2435" s="3357">
        <f>SUM(E2436:E2455)</f>
        <v>221093</v>
      </c>
      <c r="F2435" s="3357">
        <f t="shared" ref="F2435:H2435" si="574">SUM(F2436:F2455)</f>
        <v>12000</v>
      </c>
      <c r="G2435" s="3400">
        <f>SUM(G2436:G2455)</f>
        <v>59892</v>
      </c>
      <c r="H2435" s="3358">
        <f t="shared" si="574"/>
        <v>41741.079999999994</v>
      </c>
      <c r="I2435" s="1769">
        <f t="shared" si="551"/>
        <v>0.69693915714953569</v>
      </c>
    </row>
    <row r="2436" spans="1:9" ht="17.100000000000001" hidden="1" customHeight="1">
      <c r="A2436" s="3475"/>
      <c r="B2436" s="3623"/>
      <c r="C2436" s="3557" t="s">
        <v>976</v>
      </c>
      <c r="D2436" s="3627" t="s">
        <v>977</v>
      </c>
      <c r="E2436" s="3357"/>
      <c r="F2436" s="3357"/>
      <c r="G2436" s="3410"/>
      <c r="H2436" s="3358"/>
      <c r="I2436" s="1769" t="e">
        <f t="shared" si="551"/>
        <v>#DIV/0!</v>
      </c>
    </row>
    <row r="2437" spans="1:9" ht="6" hidden="1" customHeight="1">
      <c r="A2437" s="3475"/>
      <c r="B2437" s="3623"/>
      <c r="C2437" s="3557" t="s">
        <v>978</v>
      </c>
      <c r="D2437" s="3627" t="s">
        <v>977</v>
      </c>
      <c r="E2437" s="3357"/>
      <c r="F2437" s="3357"/>
      <c r="G2437" s="3410"/>
      <c r="H2437" s="3358"/>
      <c r="I2437" s="1769" t="e">
        <f t="shared" si="551"/>
        <v>#DIV/0!</v>
      </c>
    </row>
    <row r="2438" spans="1:9" ht="17.100000000000001" customHeight="1">
      <c r="A2438" s="3475"/>
      <c r="B2438" s="3623"/>
      <c r="C2438" s="3557" t="s">
        <v>807</v>
      </c>
      <c r="D2438" s="3558" t="s">
        <v>763</v>
      </c>
      <c r="E2438" s="3357">
        <v>55933</v>
      </c>
      <c r="F2438" s="3357">
        <v>2087</v>
      </c>
      <c r="G2438" s="3410">
        <v>31687</v>
      </c>
      <c r="H2438" s="3358">
        <v>29800.12</v>
      </c>
      <c r="I2438" s="1769">
        <f t="shared" si="551"/>
        <v>0.94045255151955054</v>
      </c>
    </row>
    <row r="2439" spans="1:9" ht="17.100000000000001" customHeight="1">
      <c r="A2439" s="3475"/>
      <c r="B2439" s="3623"/>
      <c r="C2439" s="3614" t="s">
        <v>808</v>
      </c>
      <c r="D2439" s="3555" t="s">
        <v>763</v>
      </c>
      <c r="E2439" s="3357">
        <v>10134</v>
      </c>
      <c r="F2439" s="3357">
        <v>368</v>
      </c>
      <c r="G2439" s="3580">
        <v>5591</v>
      </c>
      <c r="H2439" s="3358">
        <v>5258.84</v>
      </c>
      <c r="I2439" s="1769">
        <f t="shared" si="551"/>
        <v>0.94059023430513322</v>
      </c>
    </row>
    <row r="2440" spans="1:9" ht="17.100000000000001" hidden="1" customHeight="1">
      <c r="A2440" s="3475"/>
      <c r="B2440" s="3623"/>
      <c r="C2440" s="1659" t="s">
        <v>809</v>
      </c>
      <c r="D2440" s="1660" t="s">
        <v>764</v>
      </c>
      <c r="E2440" s="1661">
        <v>4512</v>
      </c>
      <c r="F2440" s="1661"/>
      <c r="G2440" s="1881"/>
      <c r="H2440" s="1663"/>
      <c r="I2440" s="1769" t="e">
        <f t="shared" si="551"/>
        <v>#DIV/0!</v>
      </c>
    </row>
    <row r="2441" spans="1:9" ht="17.100000000000001" hidden="1" customHeight="1">
      <c r="A2441" s="3475"/>
      <c r="B2441" s="3623"/>
      <c r="C2441" s="3557" t="s">
        <v>810</v>
      </c>
      <c r="D2441" s="3558" t="s">
        <v>764</v>
      </c>
      <c r="E2441" s="3357">
        <v>797</v>
      </c>
      <c r="F2441" s="3357"/>
      <c r="G2441" s="3580"/>
      <c r="H2441" s="3358"/>
      <c r="I2441" s="1769" t="e">
        <f t="shared" si="551"/>
        <v>#DIV/0!</v>
      </c>
    </row>
    <row r="2442" spans="1:9" ht="17.100000000000001" customHeight="1">
      <c r="A2442" s="3475"/>
      <c r="B2442" s="3623"/>
      <c r="C2442" s="3557" t="s">
        <v>811</v>
      </c>
      <c r="D2442" s="3558" t="s">
        <v>765</v>
      </c>
      <c r="E2442" s="3357">
        <v>8646</v>
      </c>
      <c r="F2442" s="3357">
        <v>187</v>
      </c>
      <c r="G2442" s="3580">
        <v>5432</v>
      </c>
      <c r="H2442" s="3358">
        <v>4970.99</v>
      </c>
      <c r="I2442" s="1769">
        <f t="shared" si="551"/>
        <v>0.91513070692194398</v>
      </c>
    </row>
    <row r="2443" spans="1:9" ht="17.100000000000001" customHeight="1">
      <c r="A2443" s="3475"/>
      <c r="B2443" s="3623"/>
      <c r="C2443" s="3557" t="s">
        <v>812</v>
      </c>
      <c r="D2443" s="3558" t="s">
        <v>765</v>
      </c>
      <c r="E2443" s="3357">
        <v>1396</v>
      </c>
      <c r="F2443" s="3357">
        <v>33</v>
      </c>
      <c r="G2443" s="3580">
        <v>959</v>
      </c>
      <c r="H2443" s="3358">
        <v>877.25</v>
      </c>
      <c r="I2443" s="1769">
        <f t="shared" si="551"/>
        <v>0.91475495307612098</v>
      </c>
    </row>
    <row r="2444" spans="1:9" ht="26.25" customHeight="1">
      <c r="A2444" s="3475"/>
      <c r="B2444" s="3623"/>
      <c r="C2444" s="3557" t="s">
        <v>813</v>
      </c>
      <c r="D2444" s="3558" t="s">
        <v>766</v>
      </c>
      <c r="E2444" s="3357">
        <v>1207</v>
      </c>
      <c r="F2444" s="3357">
        <v>43</v>
      </c>
      <c r="G2444" s="3580">
        <v>728</v>
      </c>
      <c r="H2444" s="3358">
        <v>708.78</v>
      </c>
      <c r="I2444" s="1769">
        <f t="shared" si="551"/>
        <v>0.97359890109890102</v>
      </c>
    </row>
    <row r="2445" spans="1:9" ht="25.5" customHeight="1" thickBot="1">
      <c r="A2445" s="1644"/>
      <c r="B2445" s="3628"/>
      <c r="C2445" s="3583" t="s">
        <v>814</v>
      </c>
      <c r="D2445" s="3584" t="s">
        <v>766</v>
      </c>
      <c r="E2445" s="1678">
        <v>236</v>
      </c>
      <c r="F2445" s="1678">
        <v>8</v>
      </c>
      <c r="G2445" s="3588">
        <v>129</v>
      </c>
      <c r="H2445" s="1747">
        <v>125.1</v>
      </c>
      <c r="I2445" s="1651">
        <f t="shared" si="551"/>
        <v>0.96976744186046504</v>
      </c>
    </row>
    <row r="2446" spans="1:9" ht="17.100000000000001" hidden="1" customHeight="1">
      <c r="A2446" s="3475"/>
      <c r="B2446" s="3623"/>
      <c r="C2446" s="1659" t="s">
        <v>815</v>
      </c>
      <c r="D2446" s="1660" t="s">
        <v>767</v>
      </c>
      <c r="E2446" s="1661">
        <v>15205</v>
      </c>
      <c r="F2446" s="1661">
        <v>0</v>
      </c>
      <c r="G2446" s="1881"/>
      <c r="H2446" s="1663"/>
      <c r="I2446" s="1769" t="e">
        <f t="shared" ref="I2446:I2514" si="575">H2446/G2446</f>
        <v>#DIV/0!</v>
      </c>
    </row>
    <row r="2447" spans="1:9" ht="17.100000000000001" hidden="1" customHeight="1">
      <c r="A2447" s="3475"/>
      <c r="B2447" s="3623"/>
      <c r="C2447" s="3557" t="s">
        <v>816</v>
      </c>
      <c r="D2447" s="3558" t="s">
        <v>767</v>
      </c>
      <c r="E2447" s="3357">
        <v>2745</v>
      </c>
      <c r="F2447" s="3357">
        <v>0</v>
      </c>
      <c r="G2447" s="3580"/>
      <c r="H2447" s="3358"/>
      <c r="I2447" s="1769" t="e">
        <f t="shared" si="575"/>
        <v>#DIV/0!</v>
      </c>
    </row>
    <row r="2448" spans="1:9" ht="17.100000000000001" customHeight="1">
      <c r="A2448" s="3475"/>
      <c r="B2448" s="3623"/>
      <c r="C2448" s="3557" t="s">
        <v>820</v>
      </c>
      <c r="D2448" s="3558" t="s">
        <v>771</v>
      </c>
      <c r="E2448" s="3357">
        <v>10436</v>
      </c>
      <c r="F2448" s="3357">
        <v>347</v>
      </c>
      <c r="G2448" s="3580">
        <v>5525</v>
      </c>
      <c r="H2448" s="3358">
        <v>0</v>
      </c>
      <c r="I2448" s="1769">
        <f t="shared" si="575"/>
        <v>0</v>
      </c>
    </row>
    <row r="2449" spans="1:10" ht="17.100000000000001" customHeight="1">
      <c r="A2449" s="3475"/>
      <c r="B2449" s="3623"/>
      <c r="C2449" s="3557" t="s">
        <v>821</v>
      </c>
      <c r="D2449" s="3558" t="s">
        <v>771</v>
      </c>
      <c r="E2449" s="3357">
        <v>1844</v>
      </c>
      <c r="F2449" s="3357">
        <v>61</v>
      </c>
      <c r="G2449" s="3580">
        <v>975</v>
      </c>
      <c r="H2449" s="3358">
        <v>0</v>
      </c>
      <c r="I2449" s="1769">
        <f t="shared" si="575"/>
        <v>0</v>
      </c>
    </row>
    <row r="2450" spans="1:10" ht="17.100000000000001" customHeight="1">
      <c r="A2450" s="3475"/>
      <c r="B2450" s="3623"/>
      <c r="C2450" s="3557" t="s">
        <v>824</v>
      </c>
      <c r="D2450" s="3558" t="s">
        <v>776</v>
      </c>
      <c r="E2450" s="3357">
        <v>59681</v>
      </c>
      <c r="F2450" s="3357">
        <v>5653</v>
      </c>
      <c r="G2450" s="3580">
        <v>5653</v>
      </c>
      <c r="H2450" s="3358">
        <v>0</v>
      </c>
      <c r="I2450" s="1769">
        <f t="shared" si="575"/>
        <v>0</v>
      </c>
    </row>
    <row r="2451" spans="1:10" ht="17.100000000000001" customHeight="1">
      <c r="A2451" s="3475"/>
      <c r="B2451" s="3623"/>
      <c r="C2451" s="3557" t="s">
        <v>825</v>
      </c>
      <c r="D2451" s="3558" t="s">
        <v>776</v>
      </c>
      <c r="E2451" s="3357">
        <v>10390</v>
      </c>
      <c r="F2451" s="3357">
        <v>998</v>
      </c>
      <c r="G2451" s="3580">
        <v>998</v>
      </c>
      <c r="H2451" s="3358">
        <v>0</v>
      </c>
      <c r="I2451" s="1769">
        <f t="shared" si="575"/>
        <v>0</v>
      </c>
    </row>
    <row r="2452" spans="1:10" ht="17.100000000000001" customHeight="1">
      <c r="A2452" s="3475"/>
      <c r="B2452" s="3623"/>
      <c r="C2452" s="3589" t="s">
        <v>828</v>
      </c>
      <c r="D2452" s="3575" t="s">
        <v>781</v>
      </c>
      <c r="E2452" s="3554">
        <v>3621</v>
      </c>
      <c r="F2452" s="3554">
        <v>1883</v>
      </c>
      <c r="G2452" s="3298">
        <v>1883</v>
      </c>
      <c r="H2452" s="3591">
        <v>0</v>
      </c>
      <c r="I2452" s="1725">
        <f t="shared" si="575"/>
        <v>0</v>
      </c>
    </row>
    <row r="2453" spans="1:10" ht="17.100000000000001" customHeight="1">
      <c r="A2453" s="3475"/>
      <c r="B2453" s="3623"/>
      <c r="C2453" s="3411" t="s">
        <v>829</v>
      </c>
      <c r="D2453" s="3412" t="s">
        <v>781</v>
      </c>
      <c r="E2453" s="3357">
        <v>639</v>
      </c>
      <c r="F2453" s="3357">
        <v>332</v>
      </c>
      <c r="G2453" s="3410">
        <v>332</v>
      </c>
      <c r="H2453" s="3358">
        <v>0</v>
      </c>
      <c r="I2453" s="3581">
        <f t="shared" si="575"/>
        <v>0</v>
      </c>
    </row>
    <row r="2454" spans="1:10" ht="17.100000000000001" hidden="1" customHeight="1">
      <c r="A2454" s="3475"/>
      <c r="B2454" s="3623"/>
      <c r="C2454" s="3629" t="s">
        <v>920</v>
      </c>
      <c r="D2454" s="2805" t="s">
        <v>900</v>
      </c>
      <c r="E2454" s="1661">
        <v>28688</v>
      </c>
      <c r="F2454" s="1661">
        <v>0</v>
      </c>
      <c r="G2454" s="1881">
        <v>0</v>
      </c>
      <c r="H2454" s="1663">
        <v>0</v>
      </c>
      <c r="I2454" s="1769" t="e">
        <f t="shared" si="575"/>
        <v>#DIV/0!</v>
      </c>
    </row>
    <row r="2455" spans="1:10" ht="17.100000000000001" hidden="1" customHeight="1">
      <c r="A2455" s="3475"/>
      <c r="B2455" s="3623"/>
      <c r="C2455" s="3630" t="s">
        <v>921</v>
      </c>
      <c r="D2455" s="3625" t="s">
        <v>900</v>
      </c>
      <c r="E2455" s="3357">
        <v>4983</v>
      </c>
      <c r="F2455" s="3357">
        <v>0</v>
      </c>
      <c r="G2455" s="3580">
        <v>0</v>
      </c>
      <c r="H2455" s="3358">
        <v>0</v>
      </c>
      <c r="I2455" s="1769" t="e">
        <f t="shared" si="575"/>
        <v>#DIV/0!</v>
      </c>
    </row>
    <row r="2456" spans="1:10" ht="17.100000000000001" customHeight="1">
      <c r="A2456" s="3475"/>
      <c r="B2456" s="3623"/>
      <c r="C2456" s="3631"/>
      <c r="D2456" s="3632"/>
      <c r="E2456" s="3357"/>
      <c r="F2456" s="3357"/>
      <c r="G2456" s="3580"/>
      <c r="H2456" s="3358"/>
      <c r="I2456" s="1769"/>
    </row>
    <row r="2457" spans="1:10" ht="17.100000000000001" customHeight="1">
      <c r="A2457" s="3475"/>
      <c r="B2457" s="3496"/>
      <c r="C2457" s="4635" t="s">
        <v>793</v>
      </c>
      <c r="D2457" s="4635"/>
      <c r="E2457" s="1615">
        <f t="shared" ref="E2457:H2457" si="576">E2458</f>
        <v>4086971</v>
      </c>
      <c r="F2457" s="1615">
        <f t="shared" si="576"/>
        <v>1027628</v>
      </c>
      <c r="G2457" s="1616">
        <f>G2458</f>
        <v>776798</v>
      </c>
      <c r="H2457" s="1617">
        <f t="shared" si="576"/>
        <v>739993.47</v>
      </c>
      <c r="I2457" s="1672">
        <f t="shared" si="575"/>
        <v>0.95262020499537847</v>
      </c>
    </row>
    <row r="2458" spans="1:10" ht="17.100000000000001" customHeight="1">
      <c r="A2458" s="3475"/>
      <c r="B2458" s="3496"/>
      <c r="C2458" s="4631" t="s">
        <v>794</v>
      </c>
      <c r="D2458" s="4632"/>
      <c r="E2458" s="3357">
        <f t="shared" ref="E2458" si="577">SUM(E2459:E2463)</f>
        <v>4086971</v>
      </c>
      <c r="F2458" s="3357">
        <f>SUM(F2459:F2464)</f>
        <v>1027628</v>
      </c>
      <c r="G2458" s="3357">
        <f>SUM(G2459:G2464)</f>
        <v>776798</v>
      </c>
      <c r="H2458" s="3358">
        <f t="shared" ref="H2458" si="578">SUM(H2459:H2464)</f>
        <v>739993.47</v>
      </c>
      <c r="I2458" s="1664">
        <f t="shared" si="575"/>
        <v>0.95262020499537847</v>
      </c>
    </row>
    <row r="2459" spans="1:10" ht="21" hidden="1" customHeight="1">
      <c r="A2459" s="3475"/>
      <c r="B2459" s="3496"/>
      <c r="C2459" s="3633" t="s">
        <v>89</v>
      </c>
      <c r="D2459" s="1660" t="s">
        <v>795</v>
      </c>
      <c r="E2459" s="3357">
        <v>183871</v>
      </c>
      <c r="F2459" s="3357">
        <v>0</v>
      </c>
      <c r="G2459" s="3410">
        <v>0</v>
      </c>
      <c r="H2459" s="3358">
        <v>0</v>
      </c>
      <c r="I2459" s="1664" t="e">
        <f t="shared" si="575"/>
        <v>#DIV/0!</v>
      </c>
    </row>
    <row r="2460" spans="1:10" ht="17.100000000000001" hidden="1" customHeight="1">
      <c r="A2460" s="3475"/>
      <c r="B2460" s="3496"/>
      <c r="C2460" s="3411" t="s">
        <v>891</v>
      </c>
      <c r="D2460" s="1660" t="s">
        <v>795</v>
      </c>
      <c r="E2460" s="3357">
        <v>2935305</v>
      </c>
      <c r="F2460" s="3357">
        <v>0</v>
      </c>
      <c r="G2460" s="3410">
        <v>0</v>
      </c>
      <c r="H2460" s="3358">
        <v>0</v>
      </c>
      <c r="I2460" s="1664" t="e">
        <f t="shared" si="575"/>
        <v>#DIV/0!</v>
      </c>
    </row>
    <row r="2461" spans="1:10" ht="17.100000000000001" hidden="1" customHeight="1">
      <c r="A2461" s="3475"/>
      <c r="B2461" s="3496"/>
      <c r="C2461" s="3633" t="s">
        <v>892</v>
      </c>
      <c r="D2461" s="1660" t="s">
        <v>795</v>
      </c>
      <c r="E2461" s="3357">
        <v>517995</v>
      </c>
      <c r="F2461" s="3357">
        <v>0</v>
      </c>
      <c r="G2461" s="3410">
        <v>0</v>
      </c>
      <c r="H2461" s="3358">
        <v>0</v>
      </c>
      <c r="I2461" s="1769" t="e">
        <f t="shared" si="575"/>
        <v>#DIV/0!</v>
      </c>
    </row>
    <row r="2462" spans="1:10" ht="66.75" customHeight="1">
      <c r="A2462" s="3475"/>
      <c r="B2462" s="3496"/>
      <c r="C2462" s="3633" t="s">
        <v>873</v>
      </c>
      <c r="D2462" s="1660" t="s">
        <v>874</v>
      </c>
      <c r="E2462" s="3357">
        <v>0</v>
      </c>
      <c r="F2462" s="3357">
        <v>967628</v>
      </c>
      <c r="G2462" s="3410">
        <v>410946</v>
      </c>
      <c r="H2462" s="3358">
        <v>376157.43</v>
      </c>
      <c r="I2462" s="1769">
        <f t="shared" si="575"/>
        <v>0.91534515483786194</v>
      </c>
    </row>
    <row r="2463" spans="1:10" ht="42" customHeight="1">
      <c r="A2463" s="3475"/>
      <c r="B2463" s="3496"/>
      <c r="C2463" s="3633" t="s">
        <v>88</v>
      </c>
      <c r="D2463" s="3558" t="s">
        <v>909</v>
      </c>
      <c r="E2463" s="3634">
        <f>49800+400000</f>
        <v>449800</v>
      </c>
      <c r="F2463" s="3634">
        <v>60000</v>
      </c>
      <c r="G2463" s="3580">
        <v>365851</v>
      </c>
      <c r="H2463" s="3635">
        <v>363836</v>
      </c>
      <c r="I2463" s="1769">
        <f t="shared" si="575"/>
        <v>0.99449229331066469</v>
      </c>
      <c r="J2463" s="1798">
        <f>SUM(G2459:G2463)</f>
        <v>776797</v>
      </c>
    </row>
    <row r="2464" spans="1:10" ht="29.25" customHeight="1">
      <c r="A2464" s="3475"/>
      <c r="B2464" s="3496"/>
      <c r="C2464" s="1690" t="s">
        <v>878</v>
      </c>
      <c r="D2464" s="1816" t="s">
        <v>967</v>
      </c>
      <c r="E2464" s="3634"/>
      <c r="F2464" s="3634">
        <v>0</v>
      </c>
      <c r="G2464" s="3580">
        <v>1</v>
      </c>
      <c r="H2464" s="3635">
        <v>0.04</v>
      </c>
      <c r="I2464" s="1769">
        <f t="shared" si="575"/>
        <v>0.04</v>
      </c>
      <c r="J2464" s="1798"/>
    </row>
    <row r="2465" spans="1:9" ht="17.100000000000001" customHeight="1">
      <c r="A2465" s="3475"/>
      <c r="B2465" s="3496"/>
      <c r="C2465" s="4597"/>
      <c r="D2465" s="4624"/>
      <c r="E2465" s="3634"/>
      <c r="F2465" s="3634"/>
      <c r="G2465" s="3580"/>
      <c r="H2465" s="3635"/>
      <c r="I2465" s="1769"/>
    </row>
    <row r="2466" spans="1:9" ht="28.5" customHeight="1">
      <c r="A2466" s="3488"/>
      <c r="B2466" s="3488"/>
      <c r="C2466" s="4625" t="s">
        <v>801</v>
      </c>
      <c r="D2466" s="4626"/>
      <c r="E2466" s="3634">
        <f>SUM(E2467:E2470)</f>
        <v>3518300</v>
      </c>
      <c r="F2466" s="3636">
        <f>SUM(F2467:F2470)</f>
        <v>0</v>
      </c>
      <c r="G2466" s="3637">
        <f>SUM(G2467:G2470)</f>
        <v>1</v>
      </c>
      <c r="H2466" s="3638">
        <f t="shared" ref="H2466" si="579">SUM(H2467:H2470)</f>
        <v>0.04</v>
      </c>
      <c r="I2466" s="3639">
        <f t="shared" si="575"/>
        <v>0.04</v>
      </c>
    </row>
    <row r="2467" spans="1:9" ht="15.75" hidden="1" customHeight="1">
      <c r="A2467" s="3488"/>
      <c r="B2467" s="3488"/>
      <c r="C2467" s="1959" t="s">
        <v>89</v>
      </c>
      <c r="D2467" s="3640" t="s">
        <v>795</v>
      </c>
      <c r="E2467" s="3556">
        <v>65000</v>
      </c>
      <c r="F2467" s="3556">
        <v>0</v>
      </c>
      <c r="G2467" s="2264">
        <v>0</v>
      </c>
      <c r="H2467" s="1663">
        <v>0</v>
      </c>
      <c r="I2467" s="1769"/>
    </row>
    <row r="2468" spans="1:9" ht="15.75" hidden="1" customHeight="1">
      <c r="A2468" s="3488"/>
      <c r="B2468" s="3488"/>
      <c r="C2468" s="1695" t="s">
        <v>891</v>
      </c>
      <c r="D2468" s="1696" t="s">
        <v>795</v>
      </c>
      <c r="E2468" s="3641">
        <v>2935305</v>
      </c>
      <c r="F2468" s="3641">
        <v>0</v>
      </c>
      <c r="G2468" s="3528">
        <v>0</v>
      </c>
      <c r="H2468" s="3635">
        <v>0</v>
      </c>
      <c r="I2468" s="1769"/>
    </row>
    <row r="2469" spans="1:9" ht="15.75" hidden="1" customHeight="1">
      <c r="A2469" s="3488"/>
      <c r="B2469" s="3488"/>
      <c r="C2469" s="3642" t="s">
        <v>892</v>
      </c>
      <c r="D2469" s="3643" t="s">
        <v>795</v>
      </c>
      <c r="E2469" s="3641"/>
      <c r="F2469" s="3641">
        <v>0</v>
      </c>
      <c r="G2469" s="3551">
        <v>0</v>
      </c>
      <c r="H2469" s="3635">
        <v>0</v>
      </c>
      <c r="I2469" s="3644"/>
    </row>
    <row r="2470" spans="1:9" ht="24.75" customHeight="1" thickBot="1">
      <c r="A2470" s="2271"/>
      <c r="B2470" s="2271"/>
      <c r="C2470" s="3042" t="s">
        <v>878</v>
      </c>
      <c r="D2470" s="2111" t="s">
        <v>967</v>
      </c>
      <c r="E2470" s="1678">
        <v>517995</v>
      </c>
      <c r="F2470" s="1678">
        <v>0</v>
      </c>
      <c r="G2470" s="3551">
        <v>1</v>
      </c>
      <c r="H2470" s="3635">
        <v>0.04</v>
      </c>
      <c r="I2470" s="1725">
        <f t="shared" si="575"/>
        <v>0.04</v>
      </c>
    </row>
    <row r="2471" spans="1:9" ht="33.75" customHeight="1" thickBot="1">
      <c r="A2471" s="3563" t="s">
        <v>1192</v>
      </c>
      <c r="B2471" s="3645"/>
      <c r="C2471" s="3646"/>
      <c r="D2471" s="3647" t="s">
        <v>1193</v>
      </c>
      <c r="E2471" s="3568">
        <f>E2472+E2476+E2514</f>
        <v>2438672</v>
      </c>
      <c r="F2471" s="3568">
        <f>F2472+F2476+F2514</f>
        <v>3138838</v>
      </c>
      <c r="G2471" s="3569">
        <f>G2472+G2476+G2514</f>
        <v>3472343</v>
      </c>
      <c r="H2471" s="3570">
        <f t="shared" ref="H2471" si="580">H2472+H2476+H2514</f>
        <v>3453710.7800000003</v>
      </c>
      <c r="I2471" s="3571">
        <f t="shared" si="575"/>
        <v>0.99463410728721224</v>
      </c>
    </row>
    <row r="2472" spans="1:9" ht="1.5" hidden="1" customHeight="1" thickBot="1">
      <c r="A2472" s="3648"/>
      <c r="B2472" s="3455" t="s">
        <v>1194</v>
      </c>
      <c r="C2472" s="3440"/>
      <c r="D2472" s="3441" t="s">
        <v>1195</v>
      </c>
      <c r="E2472" s="3572">
        <f t="shared" ref="E2472:H2474" si="581">E2473</f>
        <v>150000</v>
      </c>
      <c r="F2472" s="3572">
        <f t="shared" si="581"/>
        <v>0</v>
      </c>
      <c r="G2472" s="3585">
        <f t="shared" si="581"/>
        <v>0</v>
      </c>
      <c r="H2472" s="3449">
        <f t="shared" si="581"/>
        <v>0</v>
      </c>
      <c r="I2472" s="3649" t="e">
        <f t="shared" si="575"/>
        <v>#DIV/0!</v>
      </c>
    </row>
    <row r="2473" spans="1:9" ht="13.5" hidden="1" thickBot="1">
      <c r="A2473" s="3648"/>
      <c r="B2473" s="4627"/>
      <c r="C2473" s="4630" t="s">
        <v>793</v>
      </c>
      <c r="D2473" s="4630"/>
      <c r="E2473" s="3650">
        <f t="shared" si="581"/>
        <v>150000</v>
      </c>
      <c r="F2473" s="3650">
        <f t="shared" si="581"/>
        <v>0</v>
      </c>
      <c r="G2473" s="3651">
        <f t="shared" si="581"/>
        <v>0</v>
      </c>
      <c r="H2473" s="3652">
        <f t="shared" si="581"/>
        <v>0</v>
      </c>
      <c r="I2473" s="3649" t="e">
        <f t="shared" si="575"/>
        <v>#DIV/0!</v>
      </c>
    </row>
    <row r="2474" spans="1:9" ht="13.5" hidden="1" thickBot="1">
      <c r="A2474" s="3648"/>
      <c r="B2474" s="4628"/>
      <c r="C2474" s="4631" t="s">
        <v>794</v>
      </c>
      <c r="D2474" s="4632"/>
      <c r="E2474" s="3381">
        <f t="shared" si="581"/>
        <v>150000</v>
      </c>
      <c r="F2474" s="3381">
        <f t="shared" si="581"/>
        <v>0</v>
      </c>
      <c r="G2474" s="3653">
        <f t="shared" si="581"/>
        <v>0</v>
      </c>
      <c r="H2474" s="3382">
        <f t="shared" si="581"/>
        <v>0</v>
      </c>
      <c r="I2474" s="3649" t="e">
        <f t="shared" si="575"/>
        <v>#DIV/0!</v>
      </c>
    </row>
    <row r="2475" spans="1:9" ht="39" hidden="1" thickBot="1">
      <c r="A2475" s="3648"/>
      <c r="B2475" s="4629"/>
      <c r="C2475" s="3633" t="s">
        <v>112</v>
      </c>
      <c r="D2475" s="1660" t="s">
        <v>965</v>
      </c>
      <c r="E2475" s="2096">
        <v>150000</v>
      </c>
      <c r="F2475" s="2096">
        <v>0</v>
      </c>
      <c r="G2475" s="2214"/>
      <c r="H2475" s="2215"/>
      <c r="I2475" s="3649" t="e">
        <f t="shared" si="575"/>
        <v>#DIV/0!</v>
      </c>
    </row>
    <row r="2476" spans="1:9" ht="21.75" customHeight="1" thickBot="1">
      <c r="A2476" s="3475"/>
      <c r="B2476" s="3455" t="s">
        <v>1196</v>
      </c>
      <c r="C2476" s="3440"/>
      <c r="D2476" s="3441" t="s">
        <v>746</v>
      </c>
      <c r="E2476" s="3572">
        <f t="shared" ref="E2476:H2476" si="582">E2477</f>
        <v>2275672</v>
      </c>
      <c r="F2476" s="3572">
        <f t="shared" si="582"/>
        <v>3128838</v>
      </c>
      <c r="G2476" s="3585">
        <f t="shared" si="582"/>
        <v>3444843</v>
      </c>
      <c r="H2476" s="3449">
        <f t="shared" si="582"/>
        <v>3426210.7800000003</v>
      </c>
      <c r="I2476" s="3487">
        <f t="shared" si="575"/>
        <v>0.99459127164866445</v>
      </c>
    </row>
    <row r="2477" spans="1:9" ht="17.100000000000001" customHeight="1">
      <c r="A2477" s="3475"/>
      <c r="B2477" s="3496"/>
      <c r="C2477" s="4633" t="s">
        <v>760</v>
      </c>
      <c r="D2477" s="4633"/>
      <c r="E2477" s="1615">
        <f>E2478+E2506+E2510</f>
        <v>2275672</v>
      </c>
      <c r="F2477" s="1615">
        <f>F2478+F2506+F2510</f>
        <v>3128838</v>
      </c>
      <c r="G2477" s="1616">
        <f>G2478+G2506+G2510</f>
        <v>3444843</v>
      </c>
      <c r="H2477" s="1617">
        <f>H2478+H2506+H2510</f>
        <v>3426210.7800000003</v>
      </c>
      <c r="I2477" s="1780">
        <f t="shared" si="575"/>
        <v>0.99459127164866445</v>
      </c>
    </row>
    <row r="2478" spans="1:9" ht="17.100000000000001" customHeight="1">
      <c r="A2478" s="3475"/>
      <c r="B2478" s="3496"/>
      <c r="C2478" s="4617" t="s">
        <v>761</v>
      </c>
      <c r="D2478" s="4617"/>
      <c r="E2478" s="3357">
        <f>E2479+E2487</f>
        <v>1265086</v>
      </c>
      <c r="F2478" s="3357">
        <f>F2479+F2487</f>
        <v>1262124</v>
      </c>
      <c r="G2478" s="3400">
        <f>G2479+G2487</f>
        <v>1585707</v>
      </c>
      <c r="H2478" s="3358">
        <f>H2479+H2487</f>
        <v>1567076.6600000001</v>
      </c>
      <c r="I2478" s="1769">
        <f t="shared" si="575"/>
        <v>0.9882510829554263</v>
      </c>
    </row>
    <row r="2479" spans="1:9" ht="17.100000000000001" customHeight="1">
      <c r="A2479" s="3475"/>
      <c r="B2479" s="3496"/>
      <c r="C2479" s="4618" t="s">
        <v>762</v>
      </c>
      <c r="D2479" s="4618"/>
      <c r="E2479" s="3541">
        <f t="shared" ref="E2479" si="583">SUM(E2480:E2484)</f>
        <v>940380</v>
      </c>
      <c r="F2479" s="3541">
        <f>SUM(F2480:F2485)</f>
        <v>1008224</v>
      </c>
      <c r="G2479" s="3419">
        <f>SUM(G2480:G2485)</f>
        <v>1067189</v>
      </c>
      <c r="H2479" s="3503">
        <f>SUM(H2480:H2485)</f>
        <v>1064771.6500000001</v>
      </c>
      <c r="I2479" s="1783">
        <f t="shared" si="575"/>
        <v>0.99773484359377784</v>
      </c>
    </row>
    <row r="2480" spans="1:9" ht="17.100000000000001" customHeight="1" thickBot="1">
      <c r="A2480" s="1644"/>
      <c r="B2480" s="1645"/>
      <c r="C2480" s="3583" t="s">
        <v>61</v>
      </c>
      <c r="D2480" s="3584" t="s">
        <v>763</v>
      </c>
      <c r="E2480" s="1678">
        <v>722651</v>
      </c>
      <c r="F2480" s="1678">
        <v>772937</v>
      </c>
      <c r="G2480" s="3390">
        <v>821044</v>
      </c>
      <c r="H2480" s="1747">
        <v>820292.74</v>
      </c>
      <c r="I2480" s="1651">
        <f t="shared" si="575"/>
        <v>0.99908499422686237</v>
      </c>
    </row>
    <row r="2481" spans="1:9" ht="17.100000000000001" customHeight="1">
      <c r="A2481" s="3475"/>
      <c r="B2481" s="3496"/>
      <c r="C2481" s="2235" t="s">
        <v>315</v>
      </c>
      <c r="D2481" s="1691" t="s">
        <v>764</v>
      </c>
      <c r="E2481" s="1661">
        <v>50562</v>
      </c>
      <c r="F2481" s="1661">
        <v>60461</v>
      </c>
      <c r="G2481" s="2264">
        <v>58800</v>
      </c>
      <c r="H2481" s="1663">
        <v>58799.91</v>
      </c>
      <c r="I2481" s="1664">
        <f t="shared" si="575"/>
        <v>0.99999846938775516</v>
      </c>
    </row>
    <row r="2482" spans="1:9" ht="17.100000000000001" customHeight="1">
      <c r="A2482" s="3475"/>
      <c r="B2482" s="3496"/>
      <c r="C2482" s="3654" t="s">
        <v>62</v>
      </c>
      <c r="D2482" s="3655" t="s">
        <v>765</v>
      </c>
      <c r="E2482" s="1661">
        <v>139453</v>
      </c>
      <c r="F2482" s="1661">
        <v>149007</v>
      </c>
      <c r="G2482" s="3656">
        <v>156877</v>
      </c>
      <c r="H2482" s="1663">
        <v>156322.81</v>
      </c>
      <c r="I2482" s="3657">
        <f t="shared" si="575"/>
        <v>0.99646735977868006</v>
      </c>
    </row>
    <row r="2483" spans="1:9" ht="27.75" customHeight="1">
      <c r="A2483" s="3475"/>
      <c r="B2483" s="3496"/>
      <c r="C2483" s="3557" t="s">
        <v>63</v>
      </c>
      <c r="D2483" s="3558" t="s">
        <v>766</v>
      </c>
      <c r="E2483" s="3357">
        <v>14204</v>
      </c>
      <c r="F2483" s="3357">
        <v>14119</v>
      </c>
      <c r="G2483" s="3551">
        <v>13842</v>
      </c>
      <c r="H2483" s="3358">
        <v>13044.39</v>
      </c>
      <c r="I2483" s="3657">
        <f t="shared" si="575"/>
        <v>0.94237754659731243</v>
      </c>
    </row>
    <row r="2484" spans="1:9" ht="17.100000000000001" customHeight="1">
      <c r="A2484" s="3475"/>
      <c r="B2484" s="3496"/>
      <c r="C2484" s="3557" t="s">
        <v>324</v>
      </c>
      <c r="D2484" s="3558" t="s">
        <v>767</v>
      </c>
      <c r="E2484" s="3357">
        <v>13510</v>
      </c>
      <c r="F2484" s="3357">
        <v>11700</v>
      </c>
      <c r="G2484" s="3551">
        <v>14000</v>
      </c>
      <c r="H2484" s="3358">
        <v>14000</v>
      </c>
      <c r="I2484" s="3657">
        <f t="shared" si="575"/>
        <v>1</v>
      </c>
    </row>
    <row r="2485" spans="1:9" ht="17.100000000000001" customHeight="1">
      <c r="A2485" s="3475"/>
      <c r="B2485" s="3496"/>
      <c r="C2485" s="3631" t="s">
        <v>335</v>
      </c>
      <c r="D2485" s="3658" t="s">
        <v>768</v>
      </c>
      <c r="E2485" s="1661"/>
      <c r="F2485" s="1661">
        <v>0</v>
      </c>
      <c r="G2485" s="3410">
        <v>2626</v>
      </c>
      <c r="H2485" s="3358">
        <v>2311.8000000000002</v>
      </c>
      <c r="I2485" s="3657">
        <f t="shared" si="575"/>
        <v>0.88035034272658041</v>
      </c>
    </row>
    <row r="2486" spans="1:9" ht="17.100000000000001" customHeight="1">
      <c r="A2486" s="3475"/>
      <c r="B2486" s="3496"/>
      <c r="C2486" s="1876"/>
      <c r="D2486" s="1877"/>
      <c r="E2486" s="1878"/>
      <c r="F2486" s="1878"/>
      <c r="G2486" s="3410"/>
      <c r="H2486" s="3358"/>
      <c r="I2486" s="3657"/>
    </row>
    <row r="2487" spans="1:9" ht="17.100000000000001" customHeight="1">
      <c r="A2487" s="3475"/>
      <c r="B2487" s="3496"/>
      <c r="C2487" s="4619" t="s">
        <v>769</v>
      </c>
      <c r="D2487" s="4619"/>
      <c r="E2487" s="1942">
        <f>SUM(E2488:E2504)</f>
        <v>324706</v>
      </c>
      <c r="F2487" s="1942">
        <f>SUM(F2488:F2504)</f>
        <v>253900</v>
      </c>
      <c r="G2487" s="1943">
        <f>SUM(G2488:G2504)</f>
        <v>518518</v>
      </c>
      <c r="H2487" s="1944">
        <f>SUM(H2488:H2504)</f>
        <v>502305.01</v>
      </c>
      <c r="I2487" s="3659">
        <f t="shared" si="575"/>
        <v>0.96873205944634522</v>
      </c>
    </row>
    <row r="2488" spans="1:9" ht="17.100000000000001" customHeight="1">
      <c r="A2488" s="3475"/>
      <c r="B2488" s="3496"/>
      <c r="C2488" s="3660" t="s">
        <v>47</v>
      </c>
      <c r="D2488" s="3661" t="s">
        <v>818</v>
      </c>
      <c r="E2488" s="3357">
        <v>19250</v>
      </c>
      <c r="F2488" s="3357">
        <v>8500</v>
      </c>
      <c r="G2488" s="3410">
        <v>6322</v>
      </c>
      <c r="H2488" s="3358">
        <v>6316.11</v>
      </c>
      <c r="I2488" s="3657">
        <f t="shared" si="575"/>
        <v>0.99906833280607399</v>
      </c>
    </row>
    <row r="2489" spans="1:9" ht="17.100000000000001" customHeight="1">
      <c r="A2489" s="3475"/>
      <c r="B2489" s="3496"/>
      <c r="C2489" s="3557" t="s">
        <v>22</v>
      </c>
      <c r="D2489" s="3558" t="s">
        <v>771</v>
      </c>
      <c r="E2489" s="3357">
        <v>50022</v>
      </c>
      <c r="F2489" s="3357">
        <v>44690</v>
      </c>
      <c r="G2489" s="3410">
        <v>99551</v>
      </c>
      <c r="H2489" s="3358">
        <v>98382.99</v>
      </c>
      <c r="I2489" s="3657">
        <f t="shared" si="575"/>
        <v>0.98826721981697829</v>
      </c>
    </row>
    <row r="2490" spans="1:9" ht="17.100000000000001" customHeight="1">
      <c r="A2490" s="3475"/>
      <c r="B2490" s="3496"/>
      <c r="C2490" s="3557" t="s">
        <v>326</v>
      </c>
      <c r="D2490" s="3558" t="s">
        <v>772</v>
      </c>
      <c r="E2490" s="3357">
        <v>4900</v>
      </c>
      <c r="F2490" s="3357">
        <v>4450</v>
      </c>
      <c r="G2490" s="3551">
        <v>3225</v>
      </c>
      <c r="H2490" s="3358">
        <v>3131.65</v>
      </c>
      <c r="I2490" s="3657">
        <f t="shared" si="575"/>
        <v>0.97105426356589153</v>
      </c>
    </row>
    <row r="2491" spans="1:9" ht="17.100000000000001" customHeight="1">
      <c r="A2491" s="3475"/>
      <c r="B2491" s="3496"/>
      <c r="C2491" s="3557" t="s">
        <v>329</v>
      </c>
      <c r="D2491" s="3558" t="s">
        <v>945</v>
      </c>
      <c r="E2491" s="3357">
        <v>200</v>
      </c>
      <c r="F2491" s="3357">
        <v>0</v>
      </c>
      <c r="G2491" s="3551">
        <v>323</v>
      </c>
      <c r="H2491" s="3358">
        <v>322.38</v>
      </c>
      <c r="I2491" s="3657">
        <f t="shared" si="575"/>
        <v>0.99808049535603716</v>
      </c>
    </row>
    <row r="2492" spans="1:9" ht="17.100000000000001" customHeight="1">
      <c r="A2492" s="3475"/>
      <c r="B2492" s="3496"/>
      <c r="C2492" s="3557" t="s">
        <v>316</v>
      </c>
      <c r="D2492" s="3558" t="s">
        <v>773</v>
      </c>
      <c r="E2492" s="3357">
        <v>48000</v>
      </c>
      <c r="F2492" s="3357">
        <v>46000</v>
      </c>
      <c r="G2492" s="3551">
        <v>58140</v>
      </c>
      <c r="H2492" s="3358">
        <v>58139.15</v>
      </c>
      <c r="I2492" s="3657">
        <f t="shared" si="575"/>
        <v>0.99998538011695914</v>
      </c>
    </row>
    <row r="2493" spans="1:9" ht="17.100000000000001" customHeight="1">
      <c r="A2493" s="3475"/>
      <c r="B2493" s="3496"/>
      <c r="C2493" s="3557" t="s">
        <v>87</v>
      </c>
      <c r="D2493" s="3558" t="s">
        <v>774</v>
      </c>
      <c r="E2493" s="3357">
        <v>17212</v>
      </c>
      <c r="F2493" s="3357">
        <v>3800</v>
      </c>
      <c r="G2493" s="3551">
        <v>1880</v>
      </c>
      <c r="H2493" s="3358">
        <v>1880</v>
      </c>
      <c r="I2493" s="3657">
        <f t="shared" si="575"/>
        <v>1</v>
      </c>
    </row>
    <row r="2494" spans="1:9" ht="17.100000000000001" customHeight="1">
      <c r="A2494" s="3475"/>
      <c r="B2494" s="3496"/>
      <c r="C2494" s="3557" t="s">
        <v>317</v>
      </c>
      <c r="D2494" s="3558" t="s">
        <v>775</v>
      </c>
      <c r="E2494" s="3357">
        <v>2000</v>
      </c>
      <c r="F2494" s="3357">
        <v>1400</v>
      </c>
      <c r="G2494" s="3551">
        <v>739</v>
      </c>
      <c r="H2494" s="3358">
        <v>739</v>
      </c>
      <c r="I2494" s="3657">
        <f t="shared" si="575"/>
        <v>1</v>
      </c>
    </row>
    <row r="2495" spans="1:9" ht="17.100000000000001" customHeight="1">
      <c r="A2495" s="3475"/>
      <c r="B2495" s="3496"/>
      <c r="C2495" s="3557" t="s">
        <v>23</v>
      </c>
      <c r="D2495" s="3558" t="s">
        <v>776</v>
      </c>
      <c r="E2495" s="3357">
        <v>80543</v>
      </c>
      <c r="F2495" s="3357">
        <v>36546</v>
      </c>
      <c r="G2495" s="3551">
        <f>356461-125235</f>
        <v>231226</v>
      </c>
      <c r="H2495" s="3358">
        <v>216288.39</v>
      </c>
      <c r="I2495" s="3657">
        <f t="shared" si="575"/>
        <v>0.9353982251130929</v>
      </c>
    </row>
    <row r="2496" spans="1:9" ht="16.5" customHeight="1">
      <c r="A2496" s="3475"/>
      <c r="B2496" s="3496"/>
      <c r="C2496" s="3557" t="s">
        <v>318</v>
      </c>
      <c r="D2496" s="3558" t="s">
        <v>777</v>
      </c>
      <c r="E2496" s="3357">
        <v>4200</v>
      </c>
      <c r="F2496" s="3357">
        <v>2900</v>
      </c>
      <c r="G2496" s="3551">
        <v>2827</v>
      </c>
      <c r="H2496" s="3358">
        <v>2821.79</v>
      </c>
      <c r="I2496" s="3657">
        <f t="shared" si="575"/>
        <v>0.99815705695083123</v>
      </c>
    </row>
    <row r="2497" spans="1:9" ht="16.5" customHeight="1">
      <c r="A2497" s="3475"/>
      <c r="B2497" s="3496"/>
      <c r="C2497" s="3557" t="s">
        <v>327</v>
      </c>
      <c r="D2497" s="3558" t="s">
        <v>778</v>
      </c>
      <c r="E2497" s="3357"/>
      <c r="F2497" s="3357">
        <v>0</v>
      </c>
      <c r="G2497" s="3551">
        <v>2460</v>
      </c>
      <c r="H2497" s="3358">
        <v>2460</v>
      </c>
      <c r="I2497" s="3657">
        <f t="shared" si="575"/>
        <v>1</v>
      </c>
    </row>
    <row r="2498" spans="1:9" ht="27.75" customHeight="1">
      <c r="A2498" s="3475"/>
      <c r="B2498" s="3496"/>
      <c r="C2498" s="3557" t="s">
        <v>779</v>
      </c>
      <c r="D2498" s="3558" t="s">
        <v>780</v>
      </c>
      <c r="E2498" s="3357">
        <v>66757</v>
      </c>
      <c r="F2498" s="3357">
        <v>69628</v>
      </c>
      <c r="G2498" s="3551">
        <v>70529</v>
      </c>
      <c r="H2498" s="3358">
        <v>70528.399999999994</v>
      </c>
      <c r="I2498" s="3657">
        <f t="shared" si="575"/>
        <v>0.99999149286109257</v>
      </c>
    </row>
    <row r="2499" spans="1:9" ht="17.100000000000001" customHeight="1">
      <c r="A2499" s="3488"/>
      <c r="B2499" s="3488"/>
      <c r="C2499" s="3614" t="s">
        <v>328</v>
      </c>
      <c r="D2499" s="3555" t="s">
        <v>781</v>
      </c>
      <c r="E2499" s="3357">
        <v>1000</v>
      </c>
      <c r="F2499" s="3357">
        <v>1100</v>
      </c>
      <c r="G2499" s="3551">
        <v>738</v>
      </c>
      <c r="H2499" s="3358">
        <v>737.2</v>
      </c>
      <c r="I2499" s="3657">
        <f t="shared" si="575"/>
        <v>0.99891598915989166</v>
      </c>
    </row>
    <row r="2500" spans="1:9" ht="17.100000000000001" customHeight="1">
      <c r="A2500" s="3488"/>
      <c r="B2500" s="3488"/>
      <c r="C2500" s="3654" t="s">
        <v>899</v>
      </c>
      <c r="D2500" s="3655" t="s">
        <v>900</v>
      </c>
      <c r="E2500" s="1661">
        <v>0</v>
      </c>
      <c r="F2500" s="1661">
        <v>300</v>
      </c>
      <c r="G2500" s="3656">
        <v>0</v>
      </c>
      <c r="H2500" s="1663">
        <v>0</v>
      </c>
      <c r="I2500" s="3657"/>
    </row>
    <row r="2501" spans="1:9" ht="17.100000000000001" customHeight="1">
      <c r="A2501" s="3475"/>
      <c r="B2501" s="3496"/>
      <c r="C2501" s="3557" t="s">
        <v>333</v>
      </c>
      <c r="D2501" s="3558" t="s">
        <v>782</v>
      </c>
      <c r="E2501" s="3357">
        <v>4700</v>
      </c>
      <c r="F2501" s="3357">
        <v>4480</v>
      </c>
      <c r="G2501" s="3551">
        <v>7084</v>
      </c>
      <c r="H2501" s="3358">
        <v>7084</v>
      </c>
      <c r="I2501" s="3657">
        <f t="shared" si="575"/>
        <v>1</v>
      </c>
    </row>
    <row r="2502" spans="1:9" ht="17.100000000000001" customHeight="1">
      <c r="A2502" s="3475"/>
      <c r="B2502" s="3496"/>
      <c r="C2502" s="3557" t="s">
        <v>319</v>
      </c>
      <c r="D2502" s="3558" t="s">
        <v>783</v>
      </c>
      <c r="E2502" s="3357">
        <v>20898</v>
      </c>
      <c r="F2502" s="3357">
        <v>24082</v>
      </c>
      <c r="G2502" s="3551">
        <v>27555</v>
      </c>
      <c r="H2502" s="3358">
        <v>27555</v>
      </c>
      <c r="I2502" s="3657">
        <f t="shared" si="575"/>
        <v>1</v>
      </c>
    </row>
    <row r="2503" spans="1:9" ht="17.100000000000001" customHeight="1">
      <c r="A2503" s="3475"/>
      <c r="B2503" s="3496"/>
      <c r="C2503" s="3557" t="s">
        <v>320</v>
      </c>
      <c r="D2503" s="3558" t="s">
        <v>784</v>
      </c>
      <c r="E2503" s="3357">
        <v>2674</v>
      </c>
      <c r="F2503" s="3357">
        <v>2674</v>
      </c>
      <c r="G2503" s="3551">
        <v>2674</v>
      </c>
      <c r="H2503" s="3358">
        <v>2674</v>
      </c>
      <c r="I2503" s="3657">
        <f t="shared" si="575"/>
        <v>1</v>
      </c>
    </row>
    <row r="2504" spans="1:9" ht="25.5" customHeight="1">
      <c r="A2504" s="3475"/>
      <c r="B2504" s="3496"/>
      <c r="C2504" s="3557" t="s">
        <v>64</v>
      </c>
      <c r="D2504" s="3558" t="s">
        <v>790</v>
      </c>
      <c r="E2504" s="3357">
        <v>2350</v>
      </c>
      <c r="F2504" s="3357">
        <v>3350</v>
      </c>
      <c r="G2504" s="3551">
        <v>3245</v>
      </c>
      <c r="H2504" s="3358">
        <v>3244.95</v>
      </c>
      <c r="I2504" s="3657">
        <f t="shared" si="575"/>
        <v>0.99998459167950693</v>
      </c>
    </row>
    <row r="2505" spans="1:9" ht="17.100000000000001" customHeight="1">
      <c r="A2505" s="3475"/>
      <c r="B2505" s="3496"/>
      <c r="C2505" s="1876"/>
      <c r="D2505" s="1877"/>
      <c r="E2505" s="1878"/>
      <c r="F2505" s="1878"/>
      <c r="G2505" s="3551"/>
      <c r="H2505" s="3358"/>
      <c r="I2505" s="3657"/>
    </row>
    <row r="2506" spans="1:9" ht="17.100000000000001" customHeight="1">
      <c r="A2506" s="3475"/>
      <c r="B2506" s="3496"/>
      <c r="C2506" s="4608" t="s">
        <v>791</v>
      </c>
      <c r="D2506" s="4608"/>
      <c r="E2506" s="3556">
        <f t="shared" ref="E2506" si="584">E2508</f>
        <v>46886</v>
      </c>
      <c r="F2506" s="3556">
        <f>SUM(F2507:F2508)</f>
        <v>47543</v>
      </c>
      <c r="G2506" s="3556">
        <f t="shared" ref="G2506" si="585">SUM(G2507:G2508)</f>
        <v>39965</v>
      </c>
      <c r="H2506" s="3469">
        <f>SUM(H2507:H2508)</f>
        <v>39964.120000000003</v>
      </c>
      <c r="I2506" s="3657">
        <f t="shared" si="575"/>
        <v>0.99997798073314159</v>
      </c>
    </row>
    <row r="2507" spans="1:9" ht="17.100000000000001" customHeight="1" thickBot="1">
      <c r="A2507" s="1644"/>
      <c r="B2507" s="1645"/>
      <c r="C2507" s="1900" t="s">
        <v>314</v>
      </c>
      <c r="D2507" s="1920" t="s">
        <v>792</v>
      </c>
      <c r="E2507" s="1678">
        <v>46886</v>
      </c>
      <c r="F2507" s="1678">
        <v>47543</v>
      </c>
      <c r="G2507" s="3390">
        <v>39965</v>
      </c>
      <c r="H2507" s="1747">
        <v>39964.120000000003</v>
      </c>
      <c r="I2507" s="1651">
        <f t="shared" si="575"/>
        <v>0.99997798073314159</v>
      </c>
    </row>
    <row r="2508" spans="1:9" ht="18" hidden="1" customHeight="1">
      <c r="A2508" s="3475"/>
      <c r="B2508" s="3496"/>
      <c r="C2508" s="3662" t="s">
        <v>325</v>
      </c>
      <c r="D2508" s="1696" t="s">
        <v>977</v>
      </c>
      <c r="E2508" s="3556">
        <v>46886</v>
      </c>
      <c r="F2508" s="3556">
        <v>0</v>
      </c>
      <c r="G2508" s="2264">
        <v>0</v>
      </c>
      <c r="H2508" s="1663">
        <v>0</v>
      </c>
      <c r="I2508" s="3657" t="e">
        <f t="shared" si="575"/>
        <v>#DIV/0!</v>
      </c>
    </row>
    <row r="2509" spans="1:9" ht="18" customHeight="1">
      <c r="A2509" s="3475"/>
      <c r="B2509" s="3496"/>
      <c r="C2509" s="4620"/>
      <c r="D2509" s="4621"/>
      <c r="E2509" s="3357"/>
      <c r="F2509" s="3357"/>
      <c r="G2509" s="3410"/>
      <c r="H2509" s="3358"/>
      <c r="I2509" s="3657"/>
    </row>
    <row r="2510" spans="1:9" ht="30.75" customHeight="1">
      <c r="A2510" s="3475"/>
      <c r="B2510" s="3496"/>
      <c r="C2510" s="4622" t="s">
        <v>803</v>
      </c>
      <c r="D2510" s="4623"/>
      <c r="E2510" s="1661">
        <f>E2511+E2513</f>
        <v>963700</v>
      </c>
      <c r="F2510" s="1661">
        <f>SUM(F2511:F2513)</f>
        <v>1819171</v>
      </c>
      <c r="G2510" s="1661">
        <f>SUM(G2511:G2513)</f>
        <v>1819171</v>
      </c>
      <c r="H2510" s="1663">
        <f>SUM(H2511:H2513)</f>
        <v>1819170</v>
      </c>
      <c r="I2510" s="3657">
        <f t="shared" si="575"/>
        <v>0.99999945029906478</v>
      </c>
    </row>
    <row r="2511" spans="1:9" ht="18" customHeight="1">
      <c r="A2511" s="3475"/>
      <c r="B2511" s="3496"/>
      <c r="C2511" s="3411" t="s">
        <v>23</v>
      </c>
      <c r="D2511" s="3412" t="s">
        <v>776</v>
      </c>
      <c r="E2511" s="3357">
        <v>819145</v>
      </c>
      <c r="F2511" s="3357">
        <v>10000</v>
      </c>
      <c r="G2511" s="3410">
        <f>125235</f>
        <v>125235</v>
      </c>
      <c r="H2511" s="3358">
        <v>125235</v>
      </c>
      <c r="I2511" s="3657">
        <f t="shared" si="575"/>
        <v>1</v>
      </c>
    </row>
    <row r="2512" spans="1:9" ht="18" customHeight="1">
      <c r="A2512" s="3475"/>
      <c r="B2512" s="3496"/>
      <c r="C2512" s="3411" t="s">
        <v>864</v>
      </c>
      <c r="D2512" s="3412" t="s">
        <v>776</v>
      </c>
      <c r="E2512" s="3556"/>
      <c r="F2512" s="3357">
        <v>1537795</v>
      </c>
      <c r="G2512" s="3410">
        <f>558297+881548</f>
        <v>1439845</v>
      </c>
      <c r="H2512" s="3358">
        <v>1439844.74</v>
      </c>
      <c r="I2512" s="3657">
        <f t="shared" si="575"/>
        <v>0.9999998194250076</v>
      </c>
    </row>
    <row r="2513" spans="1:9" ht="18" customHeight="1" thickBot="1">
      <c r="A2513" s="3496"/>
      <c r="B2513" s="1645"/>
      <c r="C2513" s="2110" t="s">
        <v>825</v>
      </c>
      <c r="D2513" s="2111" t="s">
        <v>776</v>
      </c>
      <c r="E2513" s="1814">
        <v>144555</v>
      </c>
      <c r="F2513" s="1814">
        <v>271376</v>
      </c>
      <c r="G2513" s="1902">
        <f>98523+155568</f>
        <v>254091</v>
      </c>
      <c r="H2513" s="1815">
        <v>254090.26</v>
      </c>
      <c r="I2513" s="1651">
        <f t="shared" si="575"/>
        <v>0.99999708765757156</v>
      </c>
    </row>
    <row r="2514" spans="1:9" ht="18" customHeight="1" thickBot="1">
      <c r="A2514" s="3475"/>
      <c r="B2514" s="1794" t="s">
        <v>1197</v>
      </c>
      <c r="C2514" s="1795"/>
      <c r="D2514" s="1796" t="s">
        <v>95</v>
      </c>
      <c r="E2514" s="1797">
        <f t="shared" ref="E2514:H2514" si="586">E2515</f>
        <v>13000</v>
      </c>
      <c r="F2514" s="1797">
        <f t="shared" si="586"/>
        <v>10000</v>
      </c>
      <c r="G2514" s="1934">
        <f t="shared" si="586"/>
        <v>27500</v>
      </c>
      <c r="H2514" s="1935">
        <f t="shared" si="586"/>
        <v>27500</v>
      </c>
      <c r="I2514" s="1936">
        <f t="shared" si="575"/>
        <v>1</v>
      </c>
    </row>
    <row r="2515" spans="1:9" ht="21.75" customHeight="1">
      <c r="A2515" s="3475"/>
      <c r="B2515" s="3496"/>
      <c r="C2515" s="4583" t="s">
        <v>760</v>
      </c>
      <c r="D2515" s="4583"/>
      <c r="E2515" s="1615">
        <f>E2516+E2525</f>
        <v>13000</v>
      </c>
      <c r="F2515" s="1615">
        <f>F2516+F2525</f>
        <v>10000</v>
      </c>
      <c r="G2515" s="1616">
        <f t="shared" ref="G2515:H2515" si="587">G2516+G2525</f>
        <v>27500</v>
      </c>
      <c r="H2515" s="1617">
        <f t="shared" si="587"/>
        <v>27500</v>
      </c>
      <c r="I2515" s="3663">
        <f t="shared" ref="I2515:I2579" si="588">H2515/G2515</f>
        <v>1</v>
      </c>
    </row>
    <row r="2516" spans="1:9" ht="16.5" customHeight="1">
      <c r="A2516" s="3475"/>
      <c r="B2516" s="3496"/>
      <c r="C2516" s="4612" t="s">
        <v>761</v>
      </c>
      <c r="D2516" s="4612"/>
      <c r="E2516" s="3357">
        <f>E2521+E2517</f>
        <v>8000</v>
      </c>
      <c r="F2516" s="3357">
        <f>F2521+F2517</f>
        <v>5000</v>
      </c>
      <c r="G2516" s="3400">
        <f t="shared" ref="G2516:H2516" si="589">G2521+G2517</f>
        <v>19000</v>
      </c>
      <c r="H2516" s="3358">
        <f t="shared" si="589"/>
        <v>19000</v>
      </c>
      <c r="I2516" s="3657">
        <f t="shared" si="588"/>
        <v>1</v>
      </c>
    </row>
    <row r="2517" spans="1:9" ht="15.75" hidden="1" customHeight="1">
      <c r="A2517" s="3475"/>
      <c r="B2517" s="3496"/>
      <c r="C2517" s="4613" t="s">
        <v>762</v>
      </c>
      <c r="D2517" s="4613"/>
      <c r="E2517" s="3357">
        <f>E2519</f>
        <v>0</v>
      </c>
      <c r="F2517" s="3357">
        <f>SUM(F2518:F2519)</f>
        <v>0</v>
      </c>
      <c r="G2517" s="3357">
        <f t="shared" ref="G2517:H2517" si="590">SUM(G2518:G2519)</f>
        <v>0</v>
      </c>
      <c r="H2517" s="3358">
        <f t="shared" si="590"/>
        <v>0</v>
      </c>
      <c r="I2517" s="3657" t="e">
        <f t="shared" si="588"/>
        <v>#DIV/0!</v>
      </c>
    </row>
    <row r="2518" spans="1:9" ht="15.75" hidden="1" customHeight="1">
      <c r="A2518" s="3475"/>
      <c r="B2518" s="3496"/>
      <c r="C2518" s="3664">
        <v>4110</v>
      </c>
      <c r="D2518" s="3665" t="s">
        <v>765</v>
      </c>
      <c r="E2518" s="3357"/>
      <c r="F2518" s="3357">
        <v>0</v>
      </c>
      <c r="G2518" s="3577">
        <v>0</v>
      </c>
      <c r="H2518" s="3358">
        <v>0</v>
      </c>
      <c r="I2518" s="3657" t="e">
        <f t="shared" si="588"/>
        <v>#DIV/0!</v>
      </c>
    </row>
    <row r="2519" spans="1:9" ht="15.75" hidden="1" customHeight="1">
      <c r="A2519" s="3475"/>
      <c r="B2519" s="3496"/>
      <c r="C2519" s="3557" t="s">
        <v>324</v>
      </c>
      <c r="D2519" s="3558" t="s">
        <v>767</v>
      </c>
      <c r="E2519" s="3357">
        <v>0</v>
      </c>
      <c r="F2519" s="3357">
        <v>0</v>
      </c>
      <c r="G2519" s="3577">
        <v>0</v>
      </c>
      <c r="H2519" s="3358">
        <v>0</v>
      </c>
      <c r="I2519" s="3657" t="e">
        <f t="shared" si="588"/>
        <v>#DIV/0!</v>
      </c>
    </row>
    <row r="2520" spans="1:9" hidden="1">
      <c r="A2520" s="3475"/>
      <c r="B2520" s="3496"/>
      <c r="C2520" s="3609"/>
      <c r="D2520" s="3609"/>
      <c r="E2520" s="3357"/>
      <c r="F2520" s="3357"/>
      <c r="G2520" s="3577"/>
      <c r="H2520" s="3358"/>
      <c r="I2520" s="3657"/>
    </row>
    <row r="2521" spans="1:9" ht="17.100000000000001" customHeight="1">
      <c r="A2521" s="3475"/>
      <c r="B2521" s="3496"/>
      <c r="C2521" s="4614" t="s">
        <v>769</v>
      </c>
      <c r="D2521" s="4614"/>
      <c r="E2521" s="3357">
        <f>SUM(E2522:E2523)</f>
        <v>8000</v>
      </c>
      <c r="F2521" s="3357">
        <f>SUM(F2522:F2523)</f>
        <v>5000</v>
      </c>
      <c r="G2521" s="3400">
        <f t="shared" ref="G2521:H2521" si="591">SUM(G2522:G2523)</f>
        <v>19000</v>
      </c>
      <c r="H2521" s="3358">
        <f t="shared" si="591"/>
        <v>19000</v>
      </c>
      <c r="I2521" s="3657">
        <f t="shared" si="588"/>
        <v>1</v>
      </c>
    </row>
    <row r="2522" spans="1:9" ht="17.100000000000001" hidden="1" customHeight="1">
      <c r="A2522" s="3475"/>
      <c r="B2522" s="3496"/>
      <c r="C2522" s="3666" t="s">
        <v>22</v>
      </c>
      <c r="D2522" s="3576" t="s">
        <v>771</v>
      </c>
      <c r="E2522" s="3554">
        <v>0</v>
      </c>
      <c r="F2522" s="3667">
        <v>0</v>
      </c>
      <c r="G2522" s="3410"/>
      <c r="H2522" s="3358"/>
      <c r="I2522" s="3657" t="e">
        <f t="shared" si="588"/>
        <v>#DIV/0!</v>
      </c>
    </row>
    <row r="2523" spans="1:9" ht="18" customHeight="1">
      <c r="A2523" s="3475"/>
      <c r="B2523" s="3496"/>
      <c r="C2523" s="3420" t="s">
        <v>23</v>
      </c>
      <c r="D2523" s="3668" t="s">
        <v>776</v>
      </c>
      <c r="E2523" s="3357">
        <v>8000</v>
      </c>
      <c r="F2523" s="3357">
        <v>5000</v>
      </c>
      <c r="G2523" s="3410">
        <v>19000</v>
      </c>
      <c r="H2523" s="3358">
        <v>19000</v>
      </c>
      <c r="I2523" s="3581">
        <f t="shared" si="588"/>
        <v>1</v>
      </c>
    </row>
    <row r="2524" spans="1:9" ht="17.100000000000001" customHeight="1">
      <c r="A2524" s="3475"/>
      <c r="B2524" s="3496"/>
      <c r="C2524" s="3475"/>
      <c r="D2524" s="2122"/>
      <c r="E2524" s="3556"/>
      <c r="F2524" s="3556"/>
      <c r="G2524" s="2264"/>
      <c r="H2524" s="1663"/>
      <c r="I2524" s="3581"/>
    </row>
    <row r="2525" spans="1:9" ht="17.100000000000001" customHeight="1">
      <c r="A2525" s="3475"/>
      <c r="B2525" s="3496"/>
      <c r="C2525" s="4615" t="s">
        <v>838</v>
      </c>
      <c r="D2525" s="4616"/>
      <c r="E2525" s="3669">
        <f>E2526</f>
        <v>5000</v>
      </c>
      <c r="F2525" s="3669">
        <f>F2526</f>
        <v>5000</v>
      </c>
      <c r="G2525" s="3670">
        <f t="shared" ref="G2525:H2525" si="592">G2526</f>
        <v>8500</v>
      </c>
      <c r="H2525" s="3671">
        <f t="shared" si="592"/>
        <v>8500</v>
      </c>
      <c r="I2525" s="3672">
        <f t="shared" si="588"/>
        <v>1</v>
      </c>
    </row>
    <row r="2526" spans="1:9" ht="52.5" customHeight="1" thickBot="1">
      <c r="A2526" s="1644"/>
      <c r="B2526" s="1645"/>
      <c r="C2526" s="3583" t="s">
        <v>44</v>
      </c>
      <c r="D2526" s="3584" t="s">
        <v>850</v>
      </c>
      <c r="E2526" s="1678">
        <v>5000</v>
      </c>
      <c r="F2526" s="1678">
        <v>5000</v>
      </c>
      <c r="G2526" s="3390">
        <v>8500</v>
      </c>
      <c r="H2526" s="1747">
        <v>8500</v>
      </c>
      <c r="I2526" s="3672">
        <f t="shared" si="588"/>
        <v>1</v>
      </c>
    </row>
    <row r="2527" spans="1:9" ht="17.100000000000001" customHeight="1" thickBot="1">
      <c r="A2527" s="3673" t="s">
        <v>167</v>
      </c>
      <c r="B2527" s="3674"/>
      <c r="C2527" s="3675"/>
      <c r="D2527" s="3676" t="s">
        <v>1198</v>
      </c>
      <c r="E2527" s="3677">
        <f>E2528+E2540+E2563</f>
        <v>4032371</v>
      </c>
      <c r="F2527" s="3677">
        <f>F2528+F2540+F2536+F2563</f>
        <v>3583811</v>
      </c>
      <c r="G2527" s="3677">
        <f>G2528+G2540+G2536+G2563</f>
        <v>3837313</v>
      </c>
      <c r="H2527" s="3678">
        <f t="shared" ref="H2527" si="593">H2528+H2540+H2536+H2563</f>
        <v>3632760.24</v>
      </c>
      <c r="I2527" s="1605">
        <f t="shared" si="588"/>
        <v>0.94669375159128277</v>
      </c>
    </row>
    <row r="2528" spans="1:9" ht="17.100000000000001" customHeight="1" thickBot="1">
      <c r="A2528" s="3648"/>
      <c r="B2528" s="3455" t="s">
        <v>1199</v>
      </c>
      <c r="C2528" s="3440"/>
      <c r="D2528" s="3441" t="s">
        <v>169</v>
      </c>
      <c r="E2528" s="3679">
        <f>E2533</f>
        <v>680000</v>
      </c>
      <c r="F2528" s="3679">
        <f>F2533+F2529</f>
        <v>0</v>
      </c>
      <c r="G2528" s="3679">
        <f t="shared" ref="G2528:H2528" si="594">G2533+G2529</f>
        <v>81350</v>
      </c>
      <c r="H2528" s="3680">
        <f t="shared" si="594"/>
        <v>80257</v>
      </c>
      <c r="I2528" s="3487">
        <f t="shared" si="588"/>
        <v>0.98656422864167181</v>
      </c>
    </row>
    <row r="2529" spans="1:9" ht="17.100000000000001" customHeight="1">
      <c r="A2529" s="3648"/>
      <c r="B2529" s="3681"/>
      <c r="C2529" s="4583" t="s">
        <v>760</v>
      </c>
      <c r="D2529" s="4583"/>
      <c r="E2529" s="1616" t="e">
        <f t="shared" ref="E2529:H2529" si="595">E2530</f>
        <v>#REF!</v>
      </c>
      <c r="F2529" s="3538">
        <f t="shared" si="595"/>
        <v>0</v>
      </c>
      <c r="G2529" s="3682">
        <f t="shared" si="595"/>
        <v>9600</v>
      </c>
      <c r="H2529" s="3540">
        <f t="shared" si="595"/>
        <v>8532</v>
      </c>
      <c r="I2529" s="3683">
        <f t="shared" si="588"/>
        <v>0.88875000000000004</v>
      </c>
    </row>
    <row r="2530" spans="1:9" ht="17.100000000000001" customHeight="1" thickBot="1">
      <c r="A2530" s="3684"/>
      <c r="B2530" s="3685"/>
      <c r="C2530" s="4601" t="s">
        <v>838</v>
      </c>
      <c r="D2530" s="4602"/>
      <c r="E2530" s="3400" t="e">
        <f>#REF!+E2532</f>
        <v>#REF!</v>
      </c>
      <c r="F2530" s="3357">
        <f>SUM(F2531)</f>
        <v>0</v>
      </c>
      <c r="G2530" s="3686">
        <f t="shared" ref="G2530:H2530" si="596">SUM(G2531)</f>
        <v>9600</v>
      </c>
      <c r="H2530" s="3358">
        <f t="shared" si="596"/>
        <v>8532</v>
      </c>
      <c r="I2530" s="2022">
        <f t="shared" si="588"/>
        <v>0.88875000000000004</v>
      </c>
    </row>
    <row r="2531" spans="1:9" ht="38.25">
      <c r="A2531" s="3684"/>
      <c r="B2531" s="3687"/>
      <c r="C2531" s="3688" t="s">
        <v>86</v>
      </c>
      <c r="D2531" s="3689" t="s">
        <v>941</v>
      </c>
      <c r="E2531" s="3690"/>
      <c r="F2531" s="1661">
        <v>0</v>
      </c>
      <c r="G2531" s="3690">
        <v>9600</v>
      </c>
      <c r="H2531" s="1663">
        <v>8532</v>
      </c>
      <c r="I2531" s="2022">
        <f t="shared" si="588"/>
        <v>0.88875000000000004</v>
      </c>
    </row>
    <row r="2532" spans="1:9" ht="17.100000000000001" customHeight="1">
      <c r="A2532" s="3648"/>
      <c r="B2532" s="3691"/>
      <c r="C2532" s="2961"/>
      <c r="D2532" s="3692"/>
      <c r="E2532" s="3682"/>
      <c r="F2532" s="1615"/>
      <c r="G2532" s="3682"/>
      <c r="H2532" s="1617"/>
      <c r="I2532" s="2022"/>
    </row>
    <row r="2533" spans="1:9" ht="17.100000000000001" customHeight="1">
      <c r="A2533" s="3648"/>
      <c r="B2533" s="3475"/>
      <c r="C2533" s="4603" t="s">
        <v>793</v>
      </c>
      <c r="D2533" s="4604"/>
      <c r="E2533" s="3693">
        <f>E2534</f>
        <v>680000</v>
      </c>
      <c r="F2533" s="1985">
        <f t="shared" ref="F2533:H2534" si="597">F2534</f>
        <v>0</v>
      </c>
      <c r="G2533" s="3693">
        <f t="shared" si="597"/>
        <v>71750</v>
      </c>
      <c r="H2533" s="1986">
        <f t="shared" si="597"/>
        <v>71725</v>
      </c>
      <c r="I2533" s="3694">
        <f t="shared" si="588"/>
        <v>0.99965156794425092</v>
      </c>
    </row>
    <row r="2534" spans="1:9" ht="17.100000000000001" customHeight="1">
      <c r="A2534" s="3648"/>
      <c r="B2534" s="3475"/>
      <c r="C2534" s="4605" t="s">
        <v>794</v>
      </c>
      <c r="D2534" s="4606"/>
      <c r="E2534" s="3695">
        <f>E2535</f>
        <v>680000</v>
      </c>
      <c r="F2534" s="3696">
        <f t="shared" si="597"/>
        <v>0</v>
      </c>
      <c r="G2534" s="3695">
        <f t="shared" si="597"/>
        <v>71750</v>
      </c>
      <c r="H2534" s="3697">
        <f t="shared" si="597"/>
        <v>71725</v>
      </c>
      <c r="I2534" s="2022">
        <f t="shared" si="588"/>
        <v>0.99965156794425092</v>
      </c>
    </row>
    <row r="2535" spans="1:9" ht="41.25" customHeight="1" thickBot="1">
      <c r="A2535" s="3698"/>
      <c r="B2535" s="1644"/>
      <c r="C2535" s="1900" t="s">
        <v>88</v>
      </c>
      <c r="D2535" s="2731" t="s">
        <v>909</v>
      </c>
      <c r="E2535" s="3699">
        <f>80000+600000</f>
        <v>680000</v>
      </c>
      <c r="F2535" s="2096">
        <v>0</v>
      </c>
      <c r="G2535" s="3595">
        <v>71750</v>
      </c>
      <c r="H2535" s="1747">
        <v>71725</v>
      </c>
      <c r="I2535" s="3700">
        <f t="shared" si="588"/>
        <v>0.99965156794425092</v>
      </c>
    </row>
    <row r="2536" spans="1:9" ht="16.5" hidden="1" customHeight="1" thickBot="1">
      <c r="A2536" s="3648"/>
      <c r="B2536" s="3455" t="s">
        <v>170</v>
      </c>
      <c r="C2536" s="3440"/>
      <c r="D2536" s="3441"/>
      <c r="E2536" s="3679" t="e">
        <f>#REF!</f>
        <v>#REF!</v>
      </c>
      <c r="F2536" s="3679">
        <f>SUM(F2537)</f>
        <v>0</v>
      </c>
      <c r="G2536" s="3679">
        <f t="shared" ref="G2536:H2536" si="598">SUM(G2537)</f>
        <v>0</v>
      </c>
      <c r="H2536" s="3680">
        <f t="shared" si="598"/>
        <v>0</v>
      </c>
      <c r="I2536" s="3487" t="e">
        <f t="shared" si="588"/>
        <v>#DIV/0!</v>
      </c>
    </row>
    <row r="2537" spans="1:9" ht="16.5" hidden="1" customHeight="1">
      <c r="A2537" s="3648"/>
      <c r="B2537" s="3496"/>
      <c r="C2537" s="4607" t="s">
        <v>793</v>
      </c>
      <c r="D2537" s="4607"/>
      <c r="E2537" s="3701">
        <f>E2538</f>
        <v>680000</v>
      </c>
      <c r="F2537" s="3701">
        <f t="shared" ref="F2537:H2538" si="599">F2538</f>
        <v>0</v>
      </c>
      <c r="G2537" s="3701">
        <f t="shared" si="599"/>
        <v>0</v>
      </c>
      <c r="H2537" s="3702">
        <f t="shared" si="599"/>
        <v>0</v>
      </c>
      <c r="I2537" s="3663" t="e">
        <f t="shared" si="588"/>
        <v>#DIV/0!</v>
      </c>
    </row>
    <row r="2538" spans="1:9" ht="16.5" hidden="1" customHeight="1">
      <c r="A2538" s="3648"/>
      <c r="B2538" s="3496"/>
      <c r="C2538" s="4608" t="s">
        <v>794</v>
      </c>
      <c r="D2538" s="4609"/>
      <c r="E2538" s="3696">
        <f>E2539</f>
        <v>680000</v>
      </c>
      <c r="F2538" s="3696">
        <f t="shared" si="599"/>
        <v>0</v>
      </c>
      <c r="G2538" s="3703">
        <f t="shared" si="599"/>
        <v>0</v>
      </c>
      <c r="H2538" s="3697">
        <f t="shared" si="599"/>
        <v>0</v>
      </c>
      <c r="I2538" s="3657" t="e">
        <f t="shared" si="588"/>
        <v>#DIV/0!</v>
      </c>
    </row>
    <row r="2539" spans="1:9" ht="43.5" hidden="1" customHeight="1" thickBot="1">
      <c r="A2539" s="3704"/>
      <c r="B2539" s="1645"/>
      <c r="C2539" s="3705" t="s">
        <v>88</v>
      </c>
      <c r="D2539" s="2111" t="s">
        <v>909</v>
      </c>
      <c r="E2539" s="2096">
        <f>80000+600000</f>
        <v>680000</v>
      </c>
      <c r="F2539" s="2096">
        <v>0</v>
      </c>
      <c r="G2539" s="3390">
        <v>0</v>
      </c>
      <c r="H2539" s="1747">
        <v>0</v>
      </c>
      <c r="I2539" s="1651" t="e">
        <f t="shared" si="588"/>
        <v>#DIV/0!</v>
      </c>
    </row>
    <row r="2540" spans="1:9" ht="17.100000000000001" customHeight="1" thickBot="1">
      <c r="A2540" s="3706"/>
      <c r="B2540" s="3455" t="s">
        <v>173</v>
      </c>
      <c r="C2540" s="3707"/>
      <c r="D2540" s="3508" t="s">
        <v>174</v>
      </c>
      <c r="E2540" s="3572">
        <f>E2541+E2560</f>
        <v>3292371</v>
      </c>
      <c r="F2540" s="3572">
        <f>F2541+F2560</f>
        <v>3583811</v>
      </c>
      <c r="G2540" s="3585">
        <f t="shared" ref="G2540:H2540" si="600">G2541+G2560</f>
        <v>3648211</v>
      </c>
      <c r="H2540" s="3449">
        <f t="shared" si="600"/>
        <v>3456751.24</v>
      </c>
      <c r="I2540" s="3487">
        <f t="shared" si="588"/>
        <v>0.94751954862259891</v>
      </c>
    </row>
    <row r="2541" spans="1:9" ht="17.100000000000001" customHeight="1">
      <c r="A2541" s="3706"/>
      <c r="B2541" s="3708"/>
      <c r="C2541" s="4610" t="s">
        <v>760</v>
      </c>
      <c r="D2541" s="4611"/>
      <c r="E2541" s="3538">
        <f t="shared" ref="E2541:H2541" si="601">E2542+E2551+E2556</f>
        <v>3282371</v>
      </c>
      <c r="F2541" s="3709">
        <f t="shared" si="601"/>
        <v>3583811</v>
      </c>
      <c r="G2541" s="3710">
        <f t="shared" si="601"/>
        <v>3648211</v>
      </c>
      <c r="H2541" s="3540">
        <f t="shared" si="601"/>
        <v>3456751.24</v>
      </c>
      <c r="I2541" s="3711">
        <f t="shared" si="588"/>
        <v>0.94751954862259891</v>
      </c>
    </row>
    <row r="2542" spans="1:9" ht="17.100000000000001" customHeight="1">
      <c r="A2542" s="3706"/>
      <c r="B2542" s="3488"/>
      <c r="C2542" s="4589" t="s">
        <v>761</v>
      </c>
      <c r="D2542" s="4590"/>
      <c r="E2542" s="3357">
        <f t="shared" ref="E2542:H2542" si="602">E2543+E2547</f>
        <v>47000</v>
      </c>
      <c r="F2542" s="3712">
        <f t="shared" si="602"/>
        <v>98040</v>
      </c>
      <c r="G2542" s="3410">
        <f t="shared" si="602"/>
        <v>71300</v>
      </c>
      <c r="H2542" s="3358">
        <f t="shared" si="602"/>
        <v>3346.97</v>
      </c>
      <c r="I2542" s="1664">
        <f t="shared" si="588"/>
        <v>4.6942075736325382E-2</v>
      </c>
    </row>
    <row r="2543" spans="1:9" ht="17.100000000000001" customHeight="1">
      <c r="A2543" s="3706"/>
      <c r="B2543" s="3488"/>
      <c r="C2543" s="4591" t="s">
        <v>762</v>
      </c>
      <c r="D2543" s="4592"/>
      <c r="E2543" s="3713">
        <f t="shared" ref="E2543:F2543" si="603">SUM(E2544:E2545)</f>
        <v>10000</v>
      </c>
      <c r="F2543" s="3714">
        <f t="shared" si="603"/>
        <v>10300</v>
      </c>
      <c r="G2543" s="3715">
        <f t="shared" ref="G2543:H2543" si="604">SUM(G2544:G2545)</f>
        <v>10300</v>
      </c>
      <c r="H2543" s="3716">
        <f t="shared" si="604"/>
        <v>3346.97</v>
      </c>
      <c r="I2543" s="2047">
        <f t="shared" si="588"/>
        <v>0.32494854368932036</v>
      </c>
    </row>
    <row r="2544" spans="1:9" ht="17.100000000000001" customHeight="1">
      <c r="A2544" s="3706"/>
      <c r="B2544" s="3488"/>
      <c r="C2544" s="3630" t="s">
        <v>62</v>
      </c>
      <c r="D2544" s="3558" t="s">
        <v>765</v>
      </c>
      <c r="E2544" s="3713">
        <v>8400</v>
      </c>
      <c r="F2544" s="3713">
        <v>8652</v>
      </c>
      <c r="G2544" s="3551">
        <v>8652</v>
      </c>
      <c r="H2544" s="3717">
        <v>3346.97</v>
      </c>
      <c r="I2544" s="1664">
        <f t="shared" si="588"/>
        <v>0.38684350439204807</v>
      </c>
    </row>
    <row r="2545" spans="1:9" ht="27.75" customHeight="1">
      <c r="A2545" s="3706"/>
      <c r="B2545" s="3488"/>
      <c r="C2545" s="3630" t="s">
        <v>63</v>
      </c>
      <c r="D2545" s="3558" t="s">
        <v>766</v>
      </c>
      <c r="E2545" s="3713">
        <v>1600</v>
      </c>
      <c r="F2545" s="3713">
        <v>1648</v>
      </c>
      <c r="G2545" s="3551">
        <v>1648</v>
      </c>
      <c r="H2545" s="3717">
        <v>0</v>
      </c>
      <c r="I2545" s="1664">
        <f t="shared" si="588"/>
        <v>0</v>
      </c>
    </row>
    <row r="2546" spans="1:9" ht="17.100000000000001" customHeight="1">
      <c r="A2546" s="3706"/>
      <c r="B2546" s="3488"/>
      <c r="C2546" s="1876"/>
      <c r="D2546" s="1877"/>
      <c r="E2546" s="1878"/>
      <c r="F2546" s="1878"/>
      <c r="G2546" s="3551"/>
      <c r="H2546" s="3717"/>
      <c r="I2546" s="1664"/>
    </row>
    <row r="2547" spans="1:9" ht="17.100000000000001" customHeight="1">
      <c r="A2547" s="3706"/>
      <c r="B2547" s="3488"/>
      <c r="C2547" s="4593" t="s">
        <v>769</v>
      </c>
      <c r="D2547" s="4594"/>
      <c r="E2547" s="1661">
        <f t="shared" ref="E2547:H2547" si="605">SUM(E2548:E2549)</f>
        <v>37000</v>
      </c>
      <c r="F2547" s="1942">
        <f t="shared" si="605"/>
        <v>87740</v>
      </c>
      <c r="G2547" s="1943">
        <f t="shared" si="605"/>
        <v>61000</v>
      </c>
      <c r="H2547" s="1944">
        <f t="shared" si="605"/>
        <v>0</v>
      </c>
      <c r="I2547" s="2047">
        <f t="shared" si="588"/>
        <v>0</v>
      </c>
    </row>
    <row r="2548" spans="1:9" ht="17.100000000000001" customHeight="1">
      <c r="A2548" s="3706"/>
      <c r="B2548" s="3488"/>
      <c r="C2548" s="3630" t="s">
        <v>22</v>
      </c>
      <c r="D2548" s="3558" t="s">
        <v>771</v>
      </c>
      <c r="E2548" s="3713">
        <v>27000</v>
      </c>
      <c r="F2548" s="3713">
        <v>27540</v>
      </c>
      <c r="G2548" s="3551">
        <v>10000</v>
      </c>
      <c r="H2548" s="3717">
        <v>0</v>
      </c>
      <c r="I2548" s="1664">
        <f t="shared" si="588"/>
        <v>0</v>
      </c>
    </row>
    <row r="2549" spans="1:9" ht="27.75" customHeight="1">
      <c r="A2549" s="3706"/>
      <c r="B2549" s="3488"/>
      <c r="C2549" s="3614" t="s">
        <v>23</v>
      </c>
      <c r="D2549" s="3555" t="s">
        <v>776</v>
      </c>
      <c r="E2549" s="3713">
        <v>10000</v>
      </c>
      <c r="F2549" s="3713">
        <v>60200</v>
      </c>
      <c r="G2549" s="3551">
        <v>51000</v>
      </c>
      <c r="H2549" s="3717">
        <v>0</v>
      </c>
      <c r="I2549" s="1664">
        <f t="shared" si="588"/>
        <v>0</v>
      </c>
    </row>
    <row r="2550" spans="1:9" ht="17.100000000000001" customHeight="1">
      <c r="A2550" s="3706"/>
      <c r="B2550" s="3488"/>
      <c r="C2550" s="1876"/>
      <c r="D2550" s="1877"/>
      <c r="E2550" s="1878"/>
      <c r="F2550" s="1878"/>
      <c r="G2550" s="2264"/>
      <c r="H2550" s="1663"/>
      <c r="I2550" s="1664"/>
    </row>
    <row r="2551" spans="1:9" ht="17.100000000000001" customHeight="1">
      <c r="A2551" s="3706"/>
      <c r="B2551" s="3488"/>
      <c r="C2551" s="4595" t="s">
        <v>1200</v>
      </c>
      <c r="D2551" s="4596"/>
      <c r="E2551" s="3713">
        <f>SUM(E2552:E2554)</f>
        <v>2645371</v>
      </c>
      <c r="F2551" s="3713">
        <f t="shared" ref="F2551:H2551" si="606">SUM(F2552:F2554)</f>
        <v>2904371</v>
      </c>
      <c r="G2551" s="3718">
        <f t="shared" si="606"/>
        <v>2991111</v>
      </c>
      <c r="H2551" s="3717">
        <f t="shared" si="606"/>
        <v>2870159.91</v>
      </c>
      <c r="I2551" s="1664">
        <f t="shared" si="588"/>
        <v>0.95956315563013217</v>
      </c>
    </row>
    <row r="2552" spans="1:9" ht="51.75" customHeight="1">
      <c r="A2552" s="3706"/>
      <c r="B2552" s="3488"/>
      <c r="C2552" s="3630" t="s">
        <v>44</v>
      </c>
      <c r="D2552" s="3558" t="s">
        <v>850</v>
      </c>
      <c r="E2552" s="3713">
        <f>11000+230000</f>
        <v>241000</v>
      </c>
      <c r="F2552" s="3713">
        <v>280000</v>
      </c>
      <c r="G2552" s="3551">
        <v>351630</v>
      </c>
      <c r="H2552" s="3717">
        <v>343630</v>
      </c>
      <c r="I2552" s="1664">
        <f t="shared" si="588"/>
        <v>0.97724881267241137</v>
      </c>
    </row>
    <row r="2553" spans="1:9" ht="32.25" hidden="1" customHeight="1">
      <c r="A2553" s="3706"/>
      <c r="B2553" s="3488"/>
      <c r="C2553" s="3719" t="s">
        <v>86</v>
      </c>
      <c r="D2553" s="3575" t="s">
        <v>888</v>
      </c>
      <c r="E2553" s="3554"/>
      <c r="F2553" s="3554"/>
      <c r="G2553" s="3720"/>
      <c r="H2553" s="3717"/>
      <c r="I2553" s="1664" t="e">
        <f t="shared" si="588"/>
        <v>#DIV/0!</v>
      </c>
    </row>
    <row r="2554" spans="1:9" ht="30" customHeight="1">
      <c r="A2554" s="3706"/>
      <c r="B2554" s="3488"/>
      <c r="C2554" s="3614" t="s">
        <v>1201</v>
      </c>
      <c r="D2554" s="3555" t="s">
        <v>1202</v>
      </c>
      <c r="E2554" s="3713">
        <v>2404371</v>
      </c>
      <c r="F2554" s="3713">
        <v>2624371</v>
      </c>
      <c r="G2554" s="3720">
        <v>2639481</v>
      </c>
      <c r="H2554" s="3717">
        <v>2526529.91</v>
      </c>
      <c r="I2554" s="1664">
        <f t="shared" si="588"/>
        <v>0.9572070835137666</v>
      </c>
    </row>
    <row r="2555" spans="1:9" ht="12.75" customHeight="1">
      <c r="A2555" s="3706"/>
      <c r="B2555" s="3488"/>
      <c r="C2555" s="4597"/>
      <c r="D2555" s="4598"/>
      <c r="E2555" s="1661"/>
      <c r="F2555" s="1661"/>
      <c r="G2555" s="2264"/>
      <c r="H2555" s="1663"/>
      <c r="I2555" s="1664"/>
    </row>
    <row r="2556" spans="1:9" ht="17.100000000000001" customHeight="1">
      <c r="A2556" s="3706"/>
      <c r="B2556" s="3488"/>
      <c r="C2556" s="4599" t="s">
        <v>791</v>
      </c>
      <c r="D2556" s="4600"/>
      <c r="E2556" s="3713">
        <f>SUM(E2557:E2558)</f>
        <v>590000</v>
      </c>
      <c r="F2556" s="3713">
        <f t="shared" ref="F2556:H2556" si="607">SUM(F2557:F2558)</f>
        <v>581400</v>
      </c>
      <c r="G2556" s="3718">
        <f t="shared" si="607"/>
        <v>585800</v>
      </c>
      <c r="H2556" s="3717">
        <f t="shared" si="607"/>
        <v>583244.36</v>
      </c>
      <c r="I2556" s="1664">
        <f t="shared" si="588"/>
        <v>0.99563735063161485</v>
      </c>
    </row>
    <row r="2557" spans="1:9" ht="17.100000000000001" customHeight="1">
      <c r="A2557" s="3621"/>
      <c r="B2557" s="3488"/>
      <c r="C2557" s="3614" t="s">
        <v>1084</v>
      </c>
      <c r="D2557" s="3555" t="s">
        <v>1085</v>
      </c>
      <c r="E2557" s="3713">
        <v>110000</v>
      </c>
      <c r="F2557" s="3713">
        <v>91800</v>
      </c>
      <c r="G2557" s="3551">
        <v>96200</v>
      </c>
      <c r="H2557" s="3717">
        <v>96200</v>
      </c>
      <c r="I2557" s="1664">
        <f t="shared" si="588"/>
        <v>1</v>
      </c>
    </row>
    <row r="2558" spans="1:9" ht="16.5" customHeight="1" thickBot="1">
      <c r="A2558" s="3621"/>
      <c r="B2558" s="3488"/>
      <c r="C2558" s="3042" t="s">
        <v>955</v>
      </c>
      <c r="D2558" s="2111" t="s">
        <v>956</v>
      </c>
      <c r="E2558" s="1814">
        <v>480000</v>
      </c>
      <c r="F2558" s="1814">
        <v>489600</v>
      </c>
      <c r="G2558" s="1902">
        <v>489600</v>
      </c>
      <c r="H2558" s="1815">
        <v>487044.36</v>
      </c>
      <c r="I2558" s="1651">
        <f t="shared" si="588"/>
        <v>0.99478014705882345</v>
      </c>
    </row>
    <row r="2559" spans="1:9" ht="13.5" hidden="1" customHeight="1">
      <c r="A2559" s="3472"/>
      <c r="B2559" s="3488"/>
      <c r="C2559" s="2000"/>
      <c r="D2559" s="2122"/>
      <c r="E2559" s="3556"/>
      <c r="F2559" s="2732"/>
      <c r="G2559" s="2264"/>
      <c r="H2559" s="1663"/>
      <c r="I2559" s="1664"/>
    </row>
    <row r="2560" spans="1:9" ht="18.75" hidden="1" customHeight="1">
      <c r="A2560" s="3472"/>
      <c r="B2560" s="3488"/>
      <c r="C2560" s="4579" t="s">
        <v>793</v>
      </c>
      <c r="D2560" s="4580"/>
      <c r="E2560" s="3721">
        <f>E2561</f>
        <v>10000</v>
      </c>
      <c r="F2560" s="3721">
        <f t="shared" ref="F2560:H2561" si="608">F2561</f>
        <v>0</v>
      </c>
      <c r="G2560" s="3721">
        <f t="shared" si="608"/>
        <v>0</v>
      </c>
      <c r="H2560" s="3722">
        <f t="shared" si="608"/>
        <v>0</v>
      </c>
      <c r="I2560" s="1672" t="e">
        <f t="shared" si="588"/>
        <v>#DIV/0!</v>
      </c>
    </row>
    <row r="2561" spans="1:9" ht="15.75" hidden="1" customHeight="1">
      <c r="A2561" s="3472"/>
      <c r="B2561" s="3488"/>
      <c r="C2561" s="4581" t="s">
        <v>794</v>
      </c>
      <c r="D2561" s="4582"/>
      <c r="E2561" s="3723">
        <f>E2562</f>
        <v>10000</v>
      </c>
      <c r="F2561" s="3723">
        <f t="shared" si="608"/>
        <v>0</v>
      </c>
      <c r="G2561" s="3723">
        <f t="shared" si="608"/>
        <v>0</v>
      </c>
      <c r="H2561" s="3724">
        <f t="shared" si="608"/>
        <v>0</v>
      </c>
      <c r="I2561" s="1664" t="e">
        <f t="shared" si="588"/>
        <v>#DIV/0!</v>
      </c>
    </row>
    <row r="2562" spans="1:9" ht="42" hidden="1" customHeight="1" thickBot="1">
      <c r="A2562" s="3623"/>
      <c r="B2562" s="2271"/>
      <c r="C2562" s="3705" t="s">
        <v>88</v>
      </c>
      <c r="D2562" s="2111" t="s">
        <v>909</v>
      </c>
      <c r="E2562" s="2096">
        <v>10000</v>
      </c>
      <c r="F2562" s="3725">
        <v>0</v>
      </c>
      <c r="G2562" s="3390">
        <v>0</v>
      </c>
      <c r="H2562" s="1747">
        <v>0</v>
      </c>
      <c r="I2562" s="1651" t="e">
        <f t="shared" si="588"/>
        <v>#DIV/0!</v>
      </c>
    </row>
    <row r="2563" spans="1:9" ht="15.75" customHeight="1" thickBot="1">
      <c r="A2563" s="3472"/>
      <c r="B2563" s="3455" t="s">
        <v>176</v>
      </c>
      <c r="C2563" s="3707"/>
      <c r="D2563" s="3508" t="s">
        <v>95</v>
      </c>
      <c r="E2563" s="3679">
        <f>E2568</f>
        <v>60000</v>
      </c>
      <c r="F2563" s="3679">
        <f>SUM(F2564,F2568)</f>
        <v>0</v>
      </c>
      <c r="G2563" s="3679">
        <f t="shared" ref="G2563:H2563" si="609">SUM(G2564,G2568)</f>
        <v>107752</v>
      </c>
      <c r="H2563" s="3680">
        <f t="shared" si="609"/>
        <v>95752</v>
      </c>
      <c r="I2563" s="3487">
        <f t="shared" si="588"/>
        <v>0.88863315762120421</v>
      </c>
    </row>
    <row r="2564" spans="1:9" ht="15.75" customHeight="1">
      <c r="A2564" s="3472"/>
      <c r="B2564" s="3681"/>
      <c r="C2564" s="4583" t="s">
        <v>760</v>
      </c>
      <c r="D2564" s="4583"/>
      <c r="E2564" s="1615" t="e">
        <f t="shared" ref="E2564:H2564" si="610">E2565</f>
        <v>#REF!</v>
      </c>
      <c r="F2564" s="1615">
        <f t="shared" si="610"/>
        <v>0</v>
      </c>
      <c r="G2564" s="1616">
        <f t="shared" si="610"/>
        <v>24000</v>
      </c>
      <c r="H2564" s="1617">
        <f t="shared" si="610"/>
        <v>24000</v>
      </c>
      <c r="I2564" s="1672">
        <f t="shared" si="588"/>
        <v>1</v>
      </c>
    </row>
    <row r="2565" spans="1:9" ht="15.75" customHeight="1">
      <c r="A2565" s="3472"/>
      <c r="B2565" s="3681"/>
      <c r="C2565" s="4584" t="s">
        <v>838</v>
      </c>
      <c r="D2565" s="4584"/>
      <c r="E2565" s="3713" t="e">
        <f>#REF!+#REF!</f>
        <v>#REF!</v>
      </c>
      <c r="F2565" s="3713">
        <f>SUM(F2566)</f>
        <v>0</v>
      </c>
      <c r="G2565" s="3713">
        <f t="shared" ref="G2565:H2565" si="611">SUM(G2566)</f>
        <v>24000</v>
      </c>
      <c r="H2565" s="3717">
        <f t="shared" si="611"/>
        <v>24000</v>
      </c>
      <c r="I2565" s="3657">
        <f t="shared" si="588"/>
        <v>1</v>
      </c>
    </row>
    <row r="2566" spans="1:9" ht="38.25">
      <c r="A2566" s="3472"/>
      <c r="B2566" s="3681"/>
      <c r="C2566" s="3726" t="s">
        <v>86</v>
      </c>
      <c r="D2566" s="3727" t="s">
        <v>941</v>
      </c>
      <c r="E2566" s="3713"/>
      <c r="F2566" s="3713">
        <v>0</v>
      </c>
      <c r="G2566" s="3524">
        <v>24000</v>
      </c>
      <c r="H2566" s="3717">
        <v>24000</v>
      </c>
      <c r="I2566" s="3657">
        <f t="shared" si="588"/>
        <v>1</v>
      </c>
    </row>
    <row r="2567" spans="1:9" ht="13.5" thickBot="1">
      <c r="A2567" s="3728"/>
      <c r="B2567" s="2970"/>
      <c r="C2567" s="3729"/>
      <c r="D2567" s="3730"/>
      <c r="E2567" s="3731"/>
      <c r="F2567" s="3731"/>
      <c r="G2567" s="3732"/>
      <c r="H2567" s="3733"/>
      <c r="I2567" s="1651"/>
    </row>
    <row r="2568" spans="1:9">
      <c r="A2568" s="3472"/>
      <c r="B2568" s="3488"/>
      <c r="C2568" s="4585" t="s">
        <v>793</v>
      </c>
      <c r="D2568" s="4586"/>
      <c r="E2568" s="3734">
        <f>E2569</f>
        <v>60000</v>
      </c>
      <c r="F2568" s="3734">
        <f t="shared" ref="F2568:H2569" si="612">F2569</f>
        <v>0</v>
      </c>
      <c r="G2568" s="3735">
        <f t="shared" si="612"/>
        <v>83752</v>
      </c>
      <c r="H2568" s="3523">
        <f t="shared" si="612"/>
        <v>71752</v>
      </c>
      <c r="I2568" s="3663">
        <f t="shared" si="588"/>
        <v>0.85671983952622022</v>
      </c>
    </row>
    <row r="2569" spans="1:9" ht="18" customHeight="1">
      <c r="A2569" s="3472"/>
      <c r="B2569" s="3488"/>
      <c r="C2569" s="4587" t="s">
        <v>794</v>
      </c>
      <c r="D2569" s="4588"/>
      <c r="E2569" s="3713">
        <f>E2570</f>
        <v>60000</v>
      </c>
      <c r="F2569" s="3713">
        <f t="shared" si="612"/>
        <v>0</v>
      </c>
      <c r="G2569" s="3718">
        <f t="shared" si="612"/>
        <v>83752</v>
      </c>
      <c r="H2569" s="3717">
        <f t="shared" si="612"/>
        <v>71752</v>
      </c>
      <c r="I2569" s="3657">
        <f t="shared" si="588"/>
        <v>0.85671983952622022</v>
      </c>
    </row>
    <row r="2570" spans="1:9" ht="47.25" customHeight="1" thickBot="1">
      <c r="A2570" s="3475"/>
      <c r="B2570" s="2271"/>
      <c r="C2570" s="3736" t="s">
        <v>88</v>
      </c>
      <c r="D2570" s="3737" t="s">
        <v>909</v>
      </c>
      <c r="E2570" s="1814">
        <v>60000</v>
      </c>
      <c r="F2570" s="1814">
        <v>0</v>
      </c>
      <c r="G2570" s="3738">
        <v>83752</v>
      </c>
      <c r="H2570" s="1663">
        <v>71752</v>
      </c>
      <c r="I2570" s="1725">
        <f t="shared" si="588"/>
        <v>0.85671983952622022</v>
      </c>
    </row>
    <row r="2571" spans="1:9" ht="17.100000000000001" customHeight="1" thickBot="1">
      <c r="A2571" s="4569" t="s">
        <v>1203</v>
      </c>
      <c r="B2571" s="4570"/>
      <c r="C2571" s="4570"/>
      <c r="D2571" s="4571"/>
      <c r="E2571" s="3568" t="e">
        <f>E6+E181+E214+E255+E268+E463+E545+E578+E662+E701+E778+E1164+E1213+E1222+E1232+E1567+E1594+E1723+E1879+E2021+E2102+E2201+E2308+E2471+E2527+E1157</f>
        <v>#REF!</v>
      </c>
      <c r="F2571" s="3568">
        <f>F6+F181+F214+F255+F268+F463+F545+F578+F662+F701+F778+F1164+F1213+F1222+F1232+F1567+F1594+F1723+F1879+F2021+F2102+F2201+F2308+F2471+F2527+F1157</f>
        <v>1236759156</v>
      </c>
      <c r="G2571" s="3568">
        <f>G6+G181+G214+G255+G268+G463+G545+G578+G662+G701+G778+G1164+G1213+G1222+G1232+G1567+G1594+G1723+G1879+G2021+G2102+G2201+G2308+G2471+G2527+G1157</f>
        <v>1320540199</v>
      </c>
      <c r="H2571" s="3570">
        <f>H6+H181+H214+H255+H268+H463+H545+H578+H662+H701+H778+H1164+H1213+H1222+H1232+H1567+H1594+H1723+H1879+H2021+H2102+H2201+H2308+H2471+H2527+H1157</f>
        <v>1063625836.25</v>
      </c>
      <c r="I2571" s="3571">
        <f t="shared" si="588"/>
        <v>0.80544752598629521</v>
      </c>
    </row>
    <row r="2572" spans="1:9" ht="12.75" customHeight="1" thickBot="1">
      <c r="A2572" s="4572"/>
      <c r="B2572" s="4573"/>
      <c r="C2572" s="4573"/>
      <c r="D2572" s="4573"/>
      <c r="E2572" s="1745"/>
      <c r="F2572" s="1745"/>
      <c r="G2572" s="3390"/>
      <c r="H2572" s="1747"/>
      <c r="I2572" s="1651"/>
    </row>
    <row r="2573" spans="1:9" ht="17.100000000000001" customHeight="1" thickBot="1">
      <c r="A2573" s="4574" t="s">
        <v>299</v>
      </c>
      <c r="B2573" s="4575"/>
      <c r="C2573" s="4575"/>
      <c r="D2573" s="4575"/>
      <c r="E2573" s="3739"/>
      <c r="F2573" s="3740"/>
      <c r="G2573" s="3741"/>
      <c r="H2573" s="3742"/>
      <c r="I2573" s="3743"/>
    </row>
    <row r="2574" spans="1:9" ht="17.25" customHeight="1" thickBot="1">
      <c r="A2574" s="4576" t="s">
        <v>1204</v>
      </c>
      <c r="B2574" s="4577"/>
      <c r="C2574" s="4577"/>
      <c r="D2574" s="4577"/>
      <c r="E2574" s="3744">
        <f>E2575+E2578+E2579+E2580+E2581+E2582</f>
        <v>679908459</v>
      </c>
      <c r="F2574" s="3744">
        <f>F2575+F2578+F2579+F2580+F2581+F2582</f>
        <v>741116998</v>
      </c>
      <c r="G2574" s="3744">
        <f>G2575+G2578+G2579+G2580+G2581+G2582</f>
        <v>749543455</v>
      </c>
      <c r="H2574" s="3745">
        <f>H2575+H2578+H2579+H2580+H2581+H2582</f>
        <v>670658212.76999998</v>
      </c>
      <c r="I2574" s="3510">
        <f t="shared" si="588"/>
        <v>0.89475561196115039</v>
      </c>
    </row>
    <row r="2575" spans="1:9" ht="17.100000000000001" customHeight="1">
      <c r="A2575" s="4547" t="s">
        <v>1205</v>
      </c>
      <c r="B2575" s="4548"/>
      <c r="C2575" s="4548"/>
      <c r="D2575" s="4549"/>
      <c r="E2575" s="3746">
        <f>E2576+E2577</f>
        <v>273520243</v>
      </c>
      <c r="F2575" s="3746">
        <f>F2576+F2577</f>
        <v>313776815</v>
      </c>
      <c r="G2575" s="3746">
        <f>G2576+G2577</f>
        <v>337501107</v>
      </c>
      <c r="H2575" s="3747">
        <f t="shared" ref="H2575" si="613">H2576+H2577</f>
        <v>302256969.43000007</v>
      </c>
      <c r="I2575" s="3748">
        <f t="shared" si="588"/>
        <v>0.89557326823819894</v>
      </c>
    </row>
    <row r="2576" spans="1:9" ht="19.5" customHeight="1">
      <c r="A2576" s="4578" t="s">
        <v>1206</v>
      </c>
      <c r="B2576" s="4560"/>
      <c r="C2576" s="4560"/>
      <c r="D2576" s="4561"/>
      <c r="E2576" s="3749">
        <f>E10+E47+E72+E259+E343+E582+E618+E782+E799+E818+E920+E931+E1017+E1036+E1244+E1281+E1303+E1321+E1381+E1464+E1532+E1698+E1735+E1894+E2025+E2163+E2241+E2422+E2479+E2543+E1516+E160+E443+E503+E1002+E2517+E2205+E2256+E2267+E2278+E2289</f>
        <v>132833092</v>
      </c>
      <c r="F2576" s="3749">
        <f>F10+F47+F72+F259+F343+F582+F618+F782+F799+F818+F920+F931+F1017+F1036+F1244+F1281+F1303+F1321+F1381+F1464+F1532+F1698+F1735+F1894+F2025+F2163+F2241+F2422+F2479+F2543+F1516+F160+F443+F503+F1002+F1689+F2517+F2205+F2256+F2267+F2278+F2289+F2072</f>
        <v>143469305</v>
      </c>
      <c r="G2576" s="3749">
        <f>G10+G47+G72+G259+G343+G582+G618+G782+G799+G818+G920+G931+G1017+G1036+G1244+G1281+G1303+G1321+G1381+G1464+G1532+G1698+G1735+G1894+G2025+G2163+G2241+G2422+G2479+G2543+G1516+G160+G443+G503+G1002+G1689+G2517+G2205+G2256+G2267+G2278+G2289+G2072</f>
        <v>151921282</v>
      </c>
      <c r="H2576" s="3750">
        <f>H10+H47+H72+H259+H343+H582+H618+H782+H799+H818+H920+H931+H1017+H1036+H1244+H1281+H1303+H1321+H1381+H1464+H1532+H1698+H1735+H1894+H2025+H2163+H2241+H2422+H2479+H2543+H1516+H160+H443+H503+H1002+H1689+H2517+H2205+H2256+H2267+H2278+H2289+H2072</f>
        <v>148397361.67000002</v>
      </c>
      <c r="I2576" s="3748">
        <f t="shared" si="588"/>
        <v>0.97680430099319471</v>
      </c>
    </row>
    <row r="2577" spans="1:9" ht="18.75" customHeight="1">
      <c r="A2577" s="4559" t="s">
        <v>1207</v>
      </c>
      <c r="B2577" s="4560"/>
      <c r="C2577" s="4560"/>
      <c r="D2577" s="4561"/>
      <c r="E2577" s="3749">
        <f>E18+E54+E78+E140+E167+E265+E272+E336+E351+E449+E467+E510+E550+E590+E626+E666+E790+E802+E825+E925+E934+E1023+E1039+E1226+E1252+E1287+E1310+E1329+E1388+E1472+E1538+E1571+E1583+E1647+E1669+E1684+E1701+E1743+E1902+E2032+E2106+E2172+E2194+E2216+E2246+E2261+E2272+E2295+E2427+E2487+E2521+E2547+E1522+E298+E1005+E2405+E1161+E1598+E2226+E1299+E718+E324+E709</f>
        <v>140687151</v>
      </c>
      <c r="F2577" s="3749">
        <f>F18+F54+F78+F140+F167+F265+F272+F336+F351+F431+F449+F467+F510+F550+F590+F626+F666+F790+F802+F825+F925+F934+F1023+F1039+F1203+F1226+F1252+F1287+F1310+F1329+F1388+F1472+F1538+F1571+F1583+F1620+F1647+F1659+F1669+F1684+F1693+F2312+F1701+F1743+F2283+F1902+F2032+F2106+F2172+F2194+F2216+F2246+F2261+F2272+F2295+F2427+F2487+F2521+F2547+F1522+F298+F1005+F2405+F1161+F1598+F2226+F1299+F718+F324+F709+F2078</f>
        <v>170307510</v>
      </c>
      <c r="G2577" s="3749">
        <f>G18+G54+G78+G140+G167+G265+G272+G336+G351+G431+G449+G467+G510+G550+G590+G626+G666+G790+G802+G825+G925+G934+G1023+G1039+G1203+G1226+G1252+G1287+G1310+G1329+G1388+G1472+G1538+G1571+G1583+G1620+G1647+G1659+G1669+G1684+G1693+G2312+G1701+G1743+G2283+G1902+G2032+G2106+G2172+G2194+G2216+G2246+G2261+G2272+G2295+G2427+G2487+G2521+G2547+G1522+G298+G1005+G2405+G1161+G1598+G2226+G1299+G718+G324+G709+G2078</f>
        <v>185579825</v>
      </c>
      <c r="H2577" s="3750">
        <f>H18+H54+H78+H140+H167+H265+H272+H336+H351+H431+H449+H467+H510+H550+H590+H626+H666+H790+H802+H825+H925+H934+H1023+H1039+H1203+H1226+H1252+H1287+H1310+H1329+H1388+H1472+H1538+H1571+H1583+H1620+H1647+H1659+H1669+H1684+H1693+H2312+H1701+H1743+H2283+H1902+H2032+H2106+H2172+H2194+H2216+H2246+H2261+H2272+H2295+H2427+H2487+H2521+H2547+H1522+H298+H1005+H2405+H1161+H1598+H2226+H1299+H718+H324+H709+H2078</f>
        <v>153859607.76000005</v>
      </c>
      <c r="I2577" s="3748">
        <f t="shared" si="588"/>
        <v>0.82907507731511254</v>
      </c>
    </row>
    <row r="2578" spans="1:9" ht="17.100000000000001" customHeight="1">
      <c r="A2578" s="4562" t="s">
        <v>1208</v>
      </c>
      <c r="B2578" s="4563"/>
      <c r="C2578" s="4563"/>
      <c r="D2578" s="4564"/>
      <c r="E2578" s="3749">
        <f>E144+E178+E217+E280+E327+E411+E473+E945+E1194+E1543+E1601+E1622+E1650+E1664+E1674+E1726+E1767+E1792+E1882+E1987+E2111+E2197+E2221+E2317+E2331+E2340+E2349+E2367+E2373+E2382+E2392+E2408+E2551+E520+E561+E705+E1186+E1586+E1638+E2212+E2302+E2431+E2525+E1167+E721+E571+E656+E915+E1704+E434+E2096</f>
        <v>251902622</v>
      </c>
      <c r="F2578" s="3749">
        <f>F144+F178+F217+F280+F327+F338+F411+F454+F473+F794+F945+F1211+F1194+F1235+F1349+F1543+F1601+F1622+F1630+F1650+F1664+F1674+F1726+F1730+F1767+F1788+F1792+F1882+F1987+F1924+F2111+F2197+F2221+F2317+F2331+F2340+F2349+F2367+F2373+F2382+F2392+F2408+F2551+F520+F561+F705+F1186+F1586+F1638+F2212+F2302+F2431+F2525+F1167+F721+F571+F656+F915+F1704+F434+F2096+F2530+F2565+F1276</f>
        <v>258804870</v>
      </c>
      <c r="G2578" s="3749">
        <f>G144+G178+G217+G280+G327+G338+G411+G454+G473+G794+G945+G1211+G1194+G1235+G1349+G1543+G1601+G1622+G1630+G1650+G1664+G1674+G1726+G1730+G1767+G1788+G1792+G1882+G1987+G1924+G2111+G2197+G2221+G2317+G2331+G2340+G2349+G2367+G2373+G2382+G2392+G2408+G2551+G520+G561+G705+G1186+G1586+G1638+G2212+G2302+G2431+G2525+G1167+G721+G571+G656+G915+G1704+G434+G2096+G2530+G2565+G1276</f>
        <v>251749598</v>
      </c>
      <c r="H2578" s="3750">
        <f>H144+H178+H217+H280+H327+H338+H411+H454+H473+H794+H945+H1211+H1194+H1235+H1349+H1543+H1601+H1622+H1630+H1650+H1664+H1674+H1726+H1730+H1767+H1788+H1792+H1882+H1987+H1924+H2111+H2197+H2221+H2317+H2331+H2340+H2349+H2367+H2373+H2382+H2392+H2408+H2551+H520+H561+H705+H1186+H1586+H1638+H2212+H2302+H2431+H2525+H1167+H721+H571+H656+H915+H1704+H434+H2096+H2530+H2565+H1276</f>
        <v>243166142.08999997</v>
      </c>
      <c r="I2578" s="3748">
        <f t="shared" si="588"/>
        <v>0.96590478801876767</v>
      </c>
    </row>
    <row r="2579" spans="1:9" ht="17.100000000000001" customHeight="1">
      <c r="A2579" s="4562" t="s">
        <v>1209</v>
      </c>
      <c r="B2579" s="4563"/>
      <c r="C2579" s="4563"/>
      <c r="D2579" s="4564"/>
      <c r="E2579" s="3749">
        <f>E39+E67+E90+E378+E610+E642+E810+E850+E1057+E1269+E1294+E1317+E1352+E1404+E1492+E1552+E1553+E1554+E1579+E1770+E1929+E1930+E2042+E2190+E2322+E2323+E2508+E2557+E2558+E1031+E2413+E713</f>
        <v>3789485</v>
      </c>
      <c r="F2579" s="3749">
        <f>F39+F67+F90+F378+F610+F642+F810+F850+F1057+F1269+F1294+F1317+F1352+F1404+F1492+F1552+F1553+F1554+F1579+F1770+F1929+F1930+F2042+F2190+F2322+F2323+F2506+F2557+F2558+F1031+F2413+F713+F2088</f>
        <v>3204833</v>
      </c>
      <c r="G2579" s="3749">
        <f>G39+G67+G90+G378+G610+G642+G810+G850+G1057+G1269+G1294+G1317+G1352+G1404+G1492+G1552+G1553+G1554+G1579+G1770+G1929+G1930+G2042+G2190+G2322+G2323+G2506+G2557+G2558+G1031+G2413+G713+G2088</f>
        <v>4118290</v>
      </c>
      <c r="H2579" s="3750">
        <f>H39+H67+H90+H378+H610+H642+H810+H850+H1057+H1269+H1294+H1317+H1352+H1404+H1492+H1552+H1553+H1554+H1579+H1770+H1929+H1930+H2042+H2190+H2322+H2323+H2506+H2557+H2558+H1031+H2413+H713+H2088</f>
        <v>3849218.6299999994</v>
      </c>
      <c r="I2579" s="3748">
        <f t="shared" si="588"/>
        <v>0.93466429756039504</v>
      </c>
    </row>
    <row r="2580" spans="1:9" ht="15.75" customHeight="1">
      <c r="A2580" s="4565" t="s">
        <v>1210</v>
      </c>
      <c r="B2580" s="4563"/>
      <c r="C2580" s="4563"/>
      <c r="D2580" s="4564"/>
      <c r="E2580" s="3749">
        <f>E101+E184+E223+E727+E852+E949+E1059+E1356+E1406+E1494+E1800+E1932+E2045+E2114+E2435+E644+E1575+E1995+E1556+E2510+E476+E380+E679+E522+E2131</f>
        <v>137185615</v>
      </c>
      <c r="F2580" s="3749">
        <f>F101+F184+F223+F727+F852+F949+F1059+F1356+F1406+F1494+F1800+F1932+F2045+F2114+F2435+F644+F1575+F1995+F1556+F2510+F476+F380+F679+F522+F2131+F1708+F2231</f>
        <v>143479226</v>
      </c>
      <c r="G2580" s="3749">
        <f>G101+G184+G223+G727+G852+G949+G1059+G1356+G1406+G1494+G1800+G1932+G2045+G2114+G2435+G644+G1575+G1995+G1556+G2510+G476+G380+G679+G522+G2131+G1708+G2231</f>
        <v>140227332</v>
      </c>
      <c r="H2580" s="3750">
        <f>H101+H184+H223+H727+H852+H949+H1059+H1356+H1406+H1494+H1800+H1932+H2045+H2114+H2435+H644+H1575+H1995+H1556+H2510+H476+H380+H679+H522+H2131+H1708+H2231</f>
        <v>117562870.66000001</v>
      </c>
      <c r="I2580" s="3748">
        <f>H2580/G2580</f>
        <v>0.8383734396372885</v>
      </c>
    </row>
    <row r="2581" spans="1:9" ht="17.100000000000001" customHeight="1">
      <c r="A2581" s="4562" t="s">
        <v>1211</v>
      </c>
      <c r="B2581" s="4563"/>
      <c r="C2581" s="4563"/>
      <c r="D2581" s="4564"/>
      <c r="E2581" s="3749">
        <f>E1221</f>
        <v>4755932</v>
      </c>
      <c r="F2581" s="3749">
        <f>F1221</f>
        <v>11114418</v>
      </c>
      <c r="G2581" s="3749">
        <f>G1221</f>
        <v>9570505</v>
      </c>
      <c r="H2581" s="3750">
        <f>H1221</f>
        <v>0</v>
      </c>
      <c r="I2581" s="3748">
        <f>H2581/G2581</f>
        <v>0</v>
      </c>
    </row>
    <row r="2582" spans="1:9" ht="17.100000000000001" customHeight="1" thickBot="1">
      <c r="A2582" s="4566" t="s">
        <v>1212</v>
      </c>
      <c r="B2582" s="4567"/>
      <c r="C2582" s="4567"/>
      <c r="D2582" s="4568"/>
      <c r="E2582" s="3751">
        <f>E1217</f>
        <v>8754562</v>
      </c>
      <c r="F2582" s="3751">
        <f>F1217</f>
        <v>10736836</v>
      </c>
      <c r="G2582" s="3751">
        <f>G1217</f>
        <v>6376623</v>
      </c>
      <c r="H2582" s="3752">
        <f>H1217</f>
        <v>3823011.96</v>
      </c>
      <c r="I2582" s="1725">
        <f t="shared" ref="I2582:I2585" si="614">H2582/G2582</f>
        <v>0.59953551589924636</v>
      </c>
    </row>
    <row r="2583" spans="1:9" ht="15.75" customHeight="1" thickBot="1">
      <c r="A2583" s="4544" t="s">
        <v>1213</v>
      </c>
      <c r="B2583" s="4545"/>
      <c r="C2583" s="4545"/>
      <c r="D2583" s="4546"/>
      <c r="E2583" s="3744" t="e">
        <f>E2584+E2586+E2587</f>
        <v>#REF!</v>
      </c>
      <c r="F2583" s="3744">
        <f>F2584+F2586+F2587</f>
        <v>495642158</v>
      </c>
      <c r="G2583" s="3744">
        <f>G2584+G2586+G2587</f>
        <v>570996744</v>
      </c>
      <c r="H2583" s="3745">
        <f>H2584+H2586+H2587</f>
        <v>392967623.48000008</v>
      </c>
      <c r="I2583" s="3510">
        <f t="shared" si="614"/>
        <v>0.68821342259702989</v>
      </c>
    </row>
    <row r="2584" spans="1:9" ht="17.100000000000001" customHeight="1">
      <c r="A2584" s="4547" t="s">
        <v>1214</v>
      </c>
      <c r="B2584" s="4548"/>
      <c r="C2584" s="4548"/>
      <c r="D2584" s="4549"/>
      <c r="E2584" s="3746" t="e">
        <f>E41+E92+E148+E238+E285+E383+E414+E683+E896+E986+E1125+E1169+E1177+E1181+E1229+E1374+E1452+E1560+E1605+E1625+E1633+E1641+E1783+E1866+E1975+E2336+E2354+E2377+E2397+E2457+E2251+E767+E2387+E1272+E1501+E612+E302+E813+E155+E424+E437+E459+E497+E543+E565+E575+E1012+E1189+E1240+E1730+E1890+E2018+E2100+E2236+E2534+E2569+E2305+E1654+E1789+E1591+E659+E1276+E2561+E427+E2474+E2151+E2417</f>
        <v>#REF!</v>
      </c>
      <c r="F2584" s="3746">
        <f>F41+F92+F148+F238+F285+F383+F414+F420+F652+F683+F896+F986+F1125+F1169+F1177+F1181+F1229+F1374+F1452+F1560+F1605+F1626+F1612+F1634+F1642+F1716+F1783+F1866+F1975+F2336+F2354+F2377+F2397+F2457+F2251+F2091+F767+F2387+F1272+F1501+F612+F302+F813+F155+F424+F437+F458+F498+F542+F565+F575+F1012+F1189+F1240+F1890+F2018+F2100+F2236+F2534+F2569+F2305+F1654+F1591+F659+F2561+F427+F2474+F2151+F2417+F1197+F2538+F1678+F2326+F2345</f>
        <v>495642158</v>
      </c>
      <c r="G2584" s="3746">
        <f>G41+G92+G148+G238+G285+G383+G414+G420+G652+G683+G896+G986+G1125+G1169+G1177+G1181+G1229+G1374+G1452+G1560+G1605+G1626+G1612+G1634+G1642+G1716+G1783+G1866+G1975+G2336+G2354+G2377+G2397+G2457+G2251+G2091+G767+G2387+G1272+G1501+G612+G302+G813+G155+G424+G437+G458+G498+G542+G565+G575+G1012+G1189+G1240+G1890+G2018+G2100+G2236+G2534+G2569+G2305+G1654+G1591+G659+G2561+G427+G2474+G2151+G2417+G1197+G2538+G1678+G2326+G2345</f>
        <v>560082744</v>
      </c>
      <c r="H2584" s="3747">
        <f>H41+H92+H148+H238+H285+H383+H414+H420+H652+H683+H896+H986+H1125+H1169+H1177+H1181+H1229+H1374+H1452+H1560+H1605+H1626+H1612+H1634+H1642+H1716+H1783+H1866+H1975+H2336+H2354+H2377+H2397+H2457+H2251+H2091+H767+H2387+H1272+H1501+H612+H302+H813+H155+H424+H437+H458+H498+H542+H565+H575+H1012+H1189+H1240+H1890+H2018+H2100+H2236+H2534+H2569+H2305+H1654+H1591+H659+H2561+H427+H2474+H2151+H2417+H1197+H2538+H1678+H2326+H2345</f>
        <v>382053623.48000008</v>
      </c>
      <c r="I2584" s="3748">
        <f t="shared" si="614"/>
        <v>0.68213782262143763</v>
      </c>
    </row>
    <row r="2585" spans="1:9" ht="18" customHeight="1">
      <c r="A2585" s="4550" t="s">
        <v>1215</v>
      </c>
      <c r="B2585" s="4551"/>
      <c r="C2585" s="4551"/>
      <c r="D2585" s="4552"/>
      <c r="E2585" s="3753">
        <f>E97+E251+E291+E397+E694+E906+E994+E1144+E1982+E2466+E773+E1458+E312+E1508+E2362+E2156</f>
        <v>446560622</v>
      </c>
      <c r="F2585" s="3753">
        <f>F97+F251+F291+F397+F694+F906+F994+F1144+F1982+F2466+F773+F1458+F312+F1508+F2362+F2156+F1874+F1720</f>
        <v>330061604</v>
      </c>
      <c r="G2585" s="3753">
        <f>G97+G251+G291+G397+G694+G906+G994+G1144+G1982+G2466+G773+G1458+G312+G1508+G2362+G2156+G1874+G1720</f>
        <v>350279338</v>
      </c>
      <c r="H2585" s="3754">
        <f>H97+H251+H291+H397+H694+H906+H994+H1144+H1982+H2466+H773+H1458+H312+H1508+H2362+H2156+H1874+H1720</f>
        <v>236897162.98000002</v>
      </c>
      <c r="I2585" s="3748">
        <f t="shared" si="614"/>
        <v>0.6763092688612995</v>
      </c>
    </row>
    <row r="2586" spans="1:9" ht="17.100000000000001" customHeight="1">
      <c r="A2586" s="4553" t="s">
        <v>1216</v>
      </c>
      <c r="B2586" s="4554"/>
      <c r="C2586" s="4554"/>
      <c r="D2586" s="4555"/>
      <c r="E2586" s="3753">
        <f>E1141+E1616+E461</f>
        <v>16975000</v>
      </c>
      <c r="F2586" s="3753">
        <f>F1141+F1616+F461</f>
        <v>0</v>
      </c>
      <c r="G2586" s="3753">
        <f>G1141+G1616+G461</f>
        <v>10914000</v>
      </c>
      <c r="H2586" s="3754">
        <f>H1141+H1616+H461</f>
        <v>10914000</v>
      </c>
      <c r="I2586" s="3748">
        <f>H2586/G2586</f>
        <v>1</v>
      </c>
    </row>
    <row r="2587" spans="1:9" ht="17.100000000000001" customHeight="1" thickBot="1">
      <c r="A2587" s="4556" t="s">
        <v>1217</v>
      </c>
      <c r="B2587" s="4557"/>
      <c r="C2587" s="4557"/>
      <c r="D2587" s="4558"/>
      <c r="E2587" s="3755">
        <v>0</v>
      </c>
      <c r="F2587" s="3755">
        <v>0</v>
      </c>
      <c r="G2587" s="3755">
        <v>0</v>
      </c>
      <c r="H2587" s="3756">
        <v>0</v>
      </c>
      <c r="I2587" s="3748"/>
    </row>
    <row r="2588" spans="1:9" ht="17.100000000000001" customHeight="1">
      <c r="A2588" s="3757"/>
      <c r="B2588" s="3757"/>
      <c r="C2588" s="3757"/>
      <c r="D2588" s="3757"/>
      <c r="E2588" s="3758" t="e">
        <f>E2574+E2583</f>
        <v>#REF!</v>
      </c>
      <c r="F2588" s="3758"/>
      <c r="G2588" s="3758"/>
      <c r="H2588" s="3759"/>
    </row>
    <row r="2589" spans="1:9" ht="17.100000000000001" customHeight="1">
      <c r="A2589" s="3757"/>
      <c r="B2589" s="3757"/>
      <c r="C2589" s="3757"/>
      <c r="D2589" s="3757"/>
      <c r="E2589" s="3757"/>
      <c r="F2589" s="3758"/>
      <c r="G2589" s="3758"/>
      <c r="H2589" s="3759"/>
    </row>
    <row r="2590" spans="1:9" ht="17.100000000000001" customHeight="1">
      <c r="A2590" s="3757"/>
      <c r="B2590" s="3757"/>
      <c r="C2590" s="3757"/>
      <c r="D2590" s="3757"/>
      <c r="E2590" s="3757"/>
      <c r="F2590" s="3757"/>
    </row>
    <row r="2591" spans="1:9" ht="17.100000000000001" customHeight="1">
      <c r="A2591" s="3757"/>
      <c r="B2591" s="3757"/>
      <c r="C2591" s="3757"/>
      <c r="D2591" s="3757"/>
      <c r="E2591" s="3757"/>
      <c r="F2591" s="3757"/>
    </row>
    <row r="2592" spans="1:9" ht="17.100000000000001" customHeight="1">
      <c r="A2592" s="3757"/>
      <c r="B2592" s="3757"/>
      <c r="C2592" s="3757"/>
      <c r="D2592" s="3757"/>
      <c r="E2592" s="3757"/>
      <c r="F2592" s="3757"/>
    </row>
    <row r="2593" spans="1:8" ht="17.100000000000001" customHeight="1">
      <c r="A2593" s="3757"/>
      <c r="B2593" s="3757"/>
      <c r="C2593" s="3757"/>
      <c r="D2593" s="3757"/>
      <c r="E2593" s="3757"/>
      <c r="F2593" s="3757"/>
      <c r="G2593" s="3762"/>
      <c r="H2593" s="3763"/>
    </row>
    <row r="2594" spans="1:8" ht="17.100000000000001" customHeight="1">
      <c r="A2594" s="3757"/>
      <c r="B2594" s="3757"/>
      <c r="C2594" s="3757"/>
      <c r="D2594" s="3757"/>
      <c r="E2594" s="3757"/>
      <c r="F2594" s="3757"/>
    </row>
    <row r="2595" spans="1:8">
      <c r="A2595" s="3757"/>
      <c r="B2595" s="3757"/>
      <c r="C2595" s="3757"/>
      <c r="D2595" s="3757"/>
      <c r="E2595" s="3757"/>
      <c r="F2595" s="3757"/>
      <c r="H2595" s="3763"/>
    </row>
    <row r="2596" spans="1:8">
      <c r="A2596" s="3757"/>
      <c r="B2596" s="3757"/>
      <c r="C2596" s="3757"/>
      <c r="D2596" s="3757"/>
      <c r="E2596" s="3757"/>
      <c r="F2596" s="3757"/>
    </row>
    <row r="2597" spans="1:8">
      <c r="C2597" s="1798"/>
    </row>
    <row r="2599" spans="1:8">
      <c r="C2599" s="1798"/>
    </row>
    <row r="2601" spans="1:8">
      <c r="C2601" s="1798"/>
    </row>
    <row r="2603" spans="1:8">
      <c r="C2603" s="1798"/>
    </row>
    <row r="2605" spans="1:8">
      <c r="C2605" s="1798"/>
    </row>
    <row r="2607" spans="1:8">
      <c r="C2607" s="1798"/>
    </row>
    <row r="2609" spans="3:3">
      <c r="C2609" s="1798"/>
    </row>
    <row r="2611" spans="3:3">
      <c r="C2611" s="1798"/>
    </row>
    <row r="2613" spans="3:3">
      <c r="C2613" s="1798"/>
    </row>
  </sheetData>
  <mergeCells count="745">
    <mergeCell ref="A1:I1"/>
    <mergeCell ref="A2:I3"/>
    <mergeCell ref="B8:B10"/>
    <mergeCell ref="C8:D8"/>
    <mergeCell ref="C9:D9"/>
    <mergeCell ref="C10:D10"/>
    <mergeCell ref="B70:B98"/>
    <mergeCell ref="C70:D70"/>
    <mergeCell ref="C71:D71"/>
    <mergeCell ref="C72:D72"/>
    <mergeCell ref="C78:D78"/>
    <mergeCell ref="C18:D18"/>
    <mergeCell ref="C37:D37"/>
    <mergeCell ref="C38:D38"/>
    <mergeCell ref="C40:D40"/>
    <mergeCell ref="C41:D41"/>
    <mergeCell ref="C42:D42"/>
    <mergeCell ref="C88:D88"/>
    <mergeCell ref="C89:D89"/>
    <mergeCell ref="C92:D92"/>
    <mergeCell ref="C93:D93"/>
    <mergeCell ref="C97:D97"/>
    <mergeCell ref="C100:D100"/>
    <mergeCell ref="C45:D45"/>
    <mergeCell ref="C46:D46"/>
    <mergeCell ref="C47:D47"/>
    <mergeCell ref="C54:D54"/>
    <mergeCell ref="C67:D67"/>
    <mergeCell ref="C143:D143"/>
    <mergeCell ref="C144:D144"/>
    <mergeCell ref="C147:D147"/>
    <mergeCell ref="C148:D148"/>
    <mergeCell ref="C149:D149"/>
    <mergeCell ref="C154:D154"/>
    <mergeCell ref="C101:D101"/>
    <mergeCell ref="A104:A105"/>
    <mergeCell ref="B104:B105"/>
    <mergeCell ref="C138:D138"/>
    <mergeCell ref="C139:D139"/>
    <mergeCell ref="C140:D140"/>
    <mergeCell ref="C178:D178"/>
    <mergeCell ref="A179:A180"/>
    <mergeCell ref="B183:B187"/>
    <mergeCell ref="C183:D183"/>
    <mergeCell ref="C184:D184"/>
    <mergeCell ref="B216:B219"/>
    <mergeCell ref="C216:D216"/>
    <mergeCell ref="C217:D217"/>
    <mergeCell ref="C155:D155"/>
    <mergeCell ref="C158:D158"/>
    <mergeCell ref="C159:D159"/>
    <mergeCell ref="C160:D160"/>
    <mergeCell ref="C166:D166"/>
    <mergeCell ref="C167:D167"/>
    <mergeCell ref="C251:D251"/>
    <mergeCell ref="B257:B263"/>
    <mergeCell ref="C257:D257"/>
    <mergeCell ref="C258:D258"/>
    <mergeCell ref="C259:D259"/>
    <mergeCell ref="C265:D265"/>
    <mergeCell ref="C223:D223"/>
    <mergeCell ref="C237:D237"/>
    <mergeCell ref="C238:D238"/>
    <mergeCell ref="C239:D239"/>
    <mergeCell ref="B246:B248"/>
    <mergeCell ref="C246:D246"/>
    <mergeCell ref="C247:D247"/>
    <mergeCell ref="C291:D291"/>
    <mergeCell ref="C296:D296"/>
    <mergeCell ref="C297:D297"/>
    <mergeCell ref="C298:D298"/>
    <mergeCell ref="C301:D301"/>
    <mergeCell ref="C302:D302"/>
    <mergeCell ref="C270:D270"/>
    <mergeCell ref="C271:D271"/>
    <mergeCell ref="C272:D272"/>
    <mergeCell ref="C280:D280"/>
    <mergeCell ref="C285:D285"/>
    <mergeCell ref="C286:D286"/>
    <mergeCell ref="C335:D335"/>
    <mergeCell ref="C336:D336"/>
    <mergeCell ref="C338:D338"/>
    <mergeCell ref="C341:D341"/>
    <mergeCell ref="C342:D342"/>
    <mergeCell ref="C343:D343"/>
    <mergeCell ref="C312:D312"/>
    <mergeCell ref="C322:D322"/>
    <mergeCell ref="C323:D323"/>
    <mergeCell ref="C324:D324"/>
    <mergeCell ref="C327:D327"/>
    <mergeCell ref="C334:D334"/>
    <mergeCell ref="C410:D410"/>
    <mergeCell ref="C411:D411"/>
    <mergeCell ref="C414:D414"/>
    <mergeCell ref="C415:D415"/>
    <mergeCell ref="C418:D418"/>
    <mergeCell ref="C419:D419"/>
    <mergeCell ref="C351:D351"/>
    <mergeCell ref="C377:D377"/>
    <mergeCell ref="C380:D380"/>
    <mergeCell ref="C383:D383"/>
    <mergeCell ref="C384:D384"/>
    <mergeCell ref="C397:D397"/>
    <mergeCell ref="C434:D434"/>
    <mergeCell ref="C436:D436"/>
    <mergeCell ref="C437:D437"/>
    <mergeCell ref="C441:D441"/>
    <mergeCell ref="C442:D442"/>
    <mergeCell ref="C443:D443"/>
    <mergeCell ref="C422:D422"/>
    <mergeCell ref="C423:D423"/>
    <mergeCell ref="C426:D426"/>
    <mergeCell ref="C427:D427"/>
    <mergeCell ref="C430:D430"/>
    <mergeCell ref="C431:D431"/>
    <mergeCell ref="C465:D465"/>
    <mergeCell ref="C466:D466"/>
    <mergeCell ref="C467:D467"/>
    <mergeCell ref="C473:D473"/>
    <mergeCell ref="C476:D476"/>
    <mergeCell ref="C496:D496"/>
    <mergeCell ref="C449:D449"/>
    <mergeCell ref="C454:D454"/>
    <mergeCell ref="C457:D457"/>
    <mergeCell ref="C458:D458"/>
    <mergeCell ref="C460:D460"/>
    <mergeCell ref="C461:D461"/>
    <mergeCell ref="C510:D510"/>
    <mergeCell ref="C519:D519"/>
    <mergeCell ref="C522:D522"/>
    <mergeCell ref="A526:A527"/>
    <mergeCell ref="B526:B527"/>
    <mergeCell ref="C541:D541"/>
    <mergeCell ref="C497:D497"/>
    <mergeCell ref="C498:D498"/>
    <mergeCell ref="C501:D501"/>
    <mergeCell ref="C502:D502"/>
    <mergeCell ref="C503:D503"/>
    <mergeCell ref="C509:D509"/>
    <mergeCell ref="A574:A575"/>
    <mergeCell ref="B574:B575"/>
    <mergeCell ref="C574:D574"/>
    <mergeCell ref="C575:D575"/>
    <mergeCell ref="C542:D542"/>
    <mergeCell ref="C547:D547"/>
    <mergeCell ref="C548:D548"/>
    <mergeCell ref="A549:A550"/>
    <mergeCell ref="B549:B550"/>
    <mergeCell ref="C550:D550"/>
    <mergeCell ref="C580:D580"/>
    <mergeCell ref="C581:D581"/>
    <mergeCell ref="C582:D582"/>
    <mergeCell ref="C590:D590"/>
    <mergeCell ref="C609:D609"/>
    <mergeCell ref="C611:D611"/>
    <mergeCell ref="C561:D561"/>
    <mergeCell ref="C564:D564"/>
    <mergeCell ref="C565:D565"/>
    <mergeCell ref="C570:D570"/>
    <mergeCell ref="C571:D571"/>
    <mergeCell ref="C641:D641"/>
    <mergeCell ref="C644:D644"/>
    <mergeCell ref="C651:D651"/>
    <mergeCell ref="C652:D652"/>
    <mergeCell ref="C655:D655"/>
    <mergeCell ref="A656:A657"/>
    <mergeCell ref="B656:B657"/>
    <mergeCell ref="C656:D656"/>
    <mergeCell ref="C612:D612"/>
    <mergeCell ref="C613:D613"/>
    <mergeCell ref="C616:D616"/>
    <mergeCell ref="C617:D617"/>
    <mergeCell ref="C618:D618"/>
    <mergeCell ref="C626:D626"/>
    <mergeCell ref="A690:A693"/>
    <mergeCell ref="B690:B693"/>
    <mergeCell ref="C693:D693"/>
    <mergeCell ref="C659:D659"/>
    <mergeCell ref="C660:D660"/>
    <mergeCell ref="B664:B672"/>
    <mergeCell ref="C664:D664"/>
    <mergeCell ref="C665:D665"/>
    <mergeCell ref="C666:D666"/>
    <mergeCell ref="B707:B714"/>
    <mergeCell ref="C707:D707"/>
    <mergeCell ref="C708:D708"/>
    <mergeCell ref="C709:D709"/>
    <mergeCell ref="C712:D712"/>
    <mergeCell ref="C713:D713"/>
    <mergeCell ref="C679:D679"/>
    <mergeCell ref="C682:D682"/>
    <mergeCell ref="C683:D683"/>
    <mergeCell ref="C716:D716"/>
    <mergeCell ref="C717:D717"/>
    <mergeCell ref="C718:D718"/>
    <mergeCell ref="C721:D721"/>
    <mergeCell ref="C727:D727"/>
    <mergeCell ref="C765:D765"/>
    <mergeCell ref="C694:D694"/>
    <mergeCell ref="C703:D703"/>
    <mergeCell ref="C704:D704"/>
    <mergeCell ref="A787:A789"/>
    <mergeCell ref="C790:D790"/>
    <mergeCell ref="C794:D794"/>
    <mergeCell ref="C797:D797"/>
    <mergeCell ref="C798:D798"/>
    <mergeCell ref="C799:D799"/>
    <mergeCell ref="C766:D766"/>
    <mergeCell ref="C767:D767"/>
    <mergeCell ref="C773:D773"/>
    <mergeCell ref="B780:B784"/>
    <mergeCell ref="C780:D780"/>
    <mergeCell ref="C781:D781"/>
    <mergeCell ref="C782:D782"/>
    <mergeCell ref="C817:D817"/>
    <mergeCell ref="C818:D818"/>
    <mergeCell ref="C825:D825"/>
    <mergeCell ref="C849:D849"/>
    <mergeCell ref="A851:A852"/>
    <mergeCell ref="B851:B852"/>
    <mergeCell ref="C852:D852"/>
    <mergeCell ref="C802:D802"/>
    <mergeCell ref="C809:D809"/>
    <mergeCell ref="C811:D811"/>
    <mergeCell ref="C812:D812"/>
    <mergeCell ref="C813:D813"/>
    <mergeCell ref="C816:D816"/>
    <mergeCell ref="C896:D896"/>
    <mergeCell ref="C897:D897"/>
    <mergeCell ref="C906:D906"/>
    <mergeCell ref="C914:D914"/>
    <mergeCell ref="C915:D915"/>
    <mergeCell ref="B918:B922"/>
    <mergeCell ref="C918:D918"/>
    <mergeCell ref="C919:D919"/>
    <mergeCell ref="C920:D920"/>
    <mergeCell ref="B1000:B1009"/>
    <mergeCell ref="C1000:D1000"/>
    <mergeCell ref="C1001:D1001"/>
    <mergeCell ref="C1002:D1002"/>
    <mergeCell ref="C1005:D1005"/>
    <mergeCell ref="C925:D925"/>
    <mergeCell ref="A927:A928"/>
    <mergeCell ref="C929:D929"/>
    <mergeCell ref="C930:D930"/>
    <mergeCell ref="C931:D931"/>
    <mergeCell ref="C934:D934"/>
    <mergeCell ref="C1011:D1011"/>
    <mergeCell ref="C1012:D1012"/>
    <mergeCell ref="C1015:D1015"/>
    <mergeCell ref="C1016:D1016"/>
    <mergeCell ref="C1017:D1017"/>
    <mergeCell ref="C1023:D1023"/>
    <mergeCell ref="C945:D945"/>
    <mergeCell ref="C949:D949"/>
    <mergeCell ref="C986:D986"/>
    <mergeCell ref="C987:D987"/>
    <mergeCell ref="C994:D994"/>
    <mergeCell ref="C1052:D1052"/>
    <mergeCell ref="C1056:D1056"/>
    <mergeCell ref="C1058:D1058"/>
    <mergeCell ref="C1059:D1059"/>
    <mergeCell ref="C1124:D1124"/>
    <mergeCell ref="C1125:D1125"/>
    <mergeCell ref="C1031:D1031"/>
    <mergeCell ref="A1032:A1034"/>
    <mergeCell ref="C1034:D1034"/>
    <mergeCell ref="C1035:D1035"/>
    <mergeCell ref="C1036:D1036"/>
    <mergeCell ref="C1039:D1039"/>
    <mergeCell ref="C1159:D1159"/>
    <mergeCell ref="C1160:D1160"/>
    <mergeCell ref="C1161:D1161"/>
    <mergeCell ref="C1166:D1166"/>
    <mergeCell ref="C1167:D1167"/>
    <mergeCell ref="C1169:D1169"/>
    <mergeCell ref="A1126:A1127"/>
    <mergeCell ref="B1126:B1127"/>
    <mergeCell ref="A1140:A1144"/>
    <mergeCell ref="B1140:B1144"/>
    <mergeCell ref="C1140:D1140"/>
    <mergeCell ref="C1141:D1141"/>
    <mergeCell ref="C1144:D1144"/>
    <mergeCell ref="A1180:A1181"/>
    <mergeCell ref="B1181:B1183"/>
    <mergeCell ref="C1181:D1181"/>
    <mergeCell ref="C1182:D1182"/>
    <mergeCell ref="A1184:A1185"/>
    <mergeCell ref="C1185:D1185"/>
    <mergeCell ref="C1170:D1170"/>
    <mergeCell ref="B1173:B1179"/>
    <mergeCell ref="C1173:D1173"/>
    <mergeCell ref="C1174:D1174"/>
    <mergeCell ref="C1176:D1176"/>
    <mergeCell ref="C1177:D1177"/>
    <mergeCell ref="C1178:D1178"/>
    <mergeCell ref="C1197:D1197"/>
    <mergeCell ref="B1200:B1201"/>
    <mergeCell ref="C1200:D1200"/>
    <mergeCell ref="C1201:D1201"/>
    <mergeCell ref="C1203:D1203"/>
    <mergeCell ref="C1207:D1207"/>
    <mergeCell ref="C1186:D1186"/>
    <mergeCell ref="C1188:D1188"/>
    <mergeCell ref="C1189:D1189"/>
    <mergeCell ref="C1190:D1190"/>
    <mergeCell ref="B1193:B1196"/>
    <mergeCell ref="C1193:D1193"/>
    <mergeCell ref="C1194:D1194"/>
    <mergeCell ref="C1196:D1196"/>
    <mergeCell ref="C1224:D1224"/>
    <mergeCell ref="C1225:D1225"/>
    <mergeCell ref="C1226:D1226"/>
    <mergeCell ref="C1229:D1229"/>
    <mergeCell ref="C1230:D1230"/>
    <mergeCell ref="C1234:D1234"/>
    <mergeCell ref="C1210:D1210"/>
    <mergeCell ref="C1211:D1211"/>
    <mergeCell ref="B1215:B1217"/>
    <mergeCell ref="C1215:D1215"/>
    <mergeCell ref="C1216:D1216"/>
    <mergeCell ref="B1219:B1221"/>
    <mergeCell ref="C1219:D1219"/>
    <mergeCell ref="C1220:D1220"/>
    <mergeCell ref="C1243:D1243"/>
    <mergeCell ref="C1244:D1244"/>
    <mergeCell ref="C1252:D1252"/>
    <mergeCell ref="B1266:B1269"/>
    <mergeCell ref="C1268:D1268"/>
    <mergeCell ref="C1271:D1271"/>
    <mergeCell ref="C1235:D1235"/>
    <mergeCell ref="C1237:D1237"/>
    <mergeCell ref="B1238:B1240"/>
    <mergeCell ref="C1238:D1238"/>
    <mergeCell ref="C1239:D1239"/>
    <mergeCell ref="C1242:D1242"/>
    <mergeCell ref="C1272:D1272"/>
    <mergeCell ref="C1275:D1275"/>
    <mergeCell ref="C1276:D1276"/>
    <mergeCell ref="B1279:B1294"/>
    <mergeCell ref="C1279:D1279"/>
    <mergeCell ref="C1280:D1280"/>
    <mergeCell ref="C1281:D1281"/>
    <mergeCell ref="C1287:D1287"/>
    <mergeCell ref="C1293:D1293"/>
    <mergeCell ref="C1310:D1310"/>
    <mergeCell ref="C1316:D1316"/>
    <mergeCell ref="C1319:D1319"/>
    <mergeCell ref="C1320:D1320"/>
    <mergeCell ref="C1321:D1321"/>
    <mergeCell ref="C1329:D1329"/>
    <mergeCell ref="C1296:D1296"/>
    <mergeCell ref="C1297:D1297"/>
    <mergeCell ref="C1298:D1298"/>
    <mergeCell ref="C1301:D1301"/>
    <mergeCell ref="C1302:D1302"/>
    <mergeCell ref="C1303:D1303"/>
    <mergeCell ref="C1379:D1379"/>
    <mergeCell ref="C1380:D1380"/>
    <mergeCell ref="C1381:D1381"/>
    <mergeCell ref="C1388:D1388"/>
    <mergeCell ref="A1389:A1390"/>
    <mergeCell ref="B1389:B1390"/>
    <mergeCell ref="C1349:D1349"/>
    <mergeCell ref="C1352:D1352"/>
    <mergeCell ref="C1356:D1356"/>
    <mergeCell ref="C1374:D1374"/>
    <mergeCell ref="C1375:D1375"/>
    <mergeCell ref="A1376:A1378"/>
    <mergeCell ref="C1463:D1463"/>
    <mergeCell ref="C1464:D1464"/>
    <mergeCell ref="A1465:A1466"/>
    <mergeCell ref="B1465:B1466"/>
    <mergeCell ref="C1472:D1472"/>
    <mergeCell ref="C1491:D1491"/>
    <mergeCell ref="C1403:D1403"/>
    <mergeCell ref="C1406:D1406"/>
    <mergeCell ref="C1451:D1451"/>
    <mergeCell ref="C1452:D1452"/>
    <mergeCell ref="C1458:D1458"/>
    <mergeCell ref="C1462:D1462"/>
    <mergeCell ref="C1516:D1516"/>
    <mergeCell ref="C1522:D1522"/>
    <mergeCell ref="C1530:D1530"/>
    <mergeCell ref="C1531:D1531"/>
    <mergeCell ref="C1532:D1532"/>
    <mergeCell ref="C1538:D1538"/>
    <mergeCell ref="C1494:D1494"/>
    <mergeCell ref="C1500:D1500"/>
    <mergeCell ref="C1501:D1501"/>
    <mergeCell ref="C1508:D1508"/>
    <mergeCell ref="C1514:D1514"/>
    <mergeCell ref="C1515:D1515"/>
    <mergeCell ref="C1543:D1543"/>
    <mergeCell ref="C1551:D1551"/>
    <mergeCell ref="C1556:D1556"/>
    <mergeCell ref="C1560:D1560"/>
    <mergeCell ref="C1561:D1561"/>
    <mergeCell ref="B1569:B1579"/>
    <mergeCell ref="C1569:D1569"/>
    <mergeCell ref="C1570:D1570"/>
    <mergeCell ref="C1571:D1571"/>
    <mergeCell ref="C1575:D1575"/>
    <mergeCell ref="C1586:D1586"/>
    <mergeCell ref="C1590:D1590"/>
    <mergeCell ref="C1591:D1591"/>
    <mergeCell ref="C1596:D1596"/>
    <mergeCell ref="C1597:D1597"/>
    <mergeCell ref="C1598:D1598"/>
    <mergeCell ref="C1578:D1578"/>
    <mergeCell ref="B1581:B1584"/>
    <mergeCell ref="C1581:D1581"/>
    <mergeCell ref="C1582:D1582"/>
    <mergeCell ref="C1583:D1583"/>
    <mergeCell ref="C1585:D1585"/>
    <mergeCell ref="C1618:D1618"/>
    <mergeCell ref="C1619:D1619"/>
    <mergeCell ref="C1620:D1620"/>
    <mergeCell ref="C1622:D1622"/>
    <mergeCell ref="A1625:A1626"/>
    <mergeCell ref="B1625:B1626"/>
    <mergeCell ref="C1625:D1625"/>
    <mergeCell ref="C1626:D1626"/>
    <mergeCell ref="C1601:D1601"/>
    <mergeCell ref="C1605:D1605"/>
    <mergeCell ref="C1606:D1606"/>
    <mergeCell ref="C1611:D1611"/>
    <mergeCell ref="C1612:D1612"/>
    <mergeCell ref="C1615:D1615"/>
    <mergeCell ref="C1637:D1637"/>
    <mergeCell ref="C1638:D1638"/>
    <mergeCell ref="C1640:D1640"/>
    <mergeCell ref="B1641:B1643"/>
    <mergeCell ref="C1641:D1641"/>
    <mergeCell ref="C1642:D1642"/>
    <mergeCell ref="C1629:D1629"/>
    <mergeCell ref="C1630:D1630"/>
    <mergeCell ref="B1632:B1635"/>
    <mergeCell ref="C1632:D1632"/>
    <mergeCell ref="C1633:D1633"/>
    <mergeCell ref="C1634:D1634"/>
    <mergeCell ref="B1663:B1665"/>
    <mergeCell ref="C1663:D1663"/>
    <mergeCell ref="C1664:D1664"/>
    <mergeCell ref="C1645:D1645"/>
    <mergeCell ref="C1646:D1646"/>
    <mergeCell ref="B1647:B1651"/>
    <mergeCell ref="C1647:D1647"/>
    <mergeCell ref="C1650:D1650"/>
    <mergeCell ref="C1653:D1653"/>
    <mergeCell ref="C1667:D1667"/>
    <mergeCell ref="C1668:D1668"/>
    <mergeCell ref="C1669:D1669"/>
    <mergeCell ref="C1674:D1674"/>
    <mergeCell ref="C1677:D1677"/>
    <mergeCell ref="C1678:D1678"/>
    <mergeCell ref="C1654:D1654"/>
    <mergeCell ref="C1657:D1657"/>
    <mergeCell ref="C1658:D1658"/>
    <mergeCell ref="C1659:D1659"/>
    <mergeCell ref="B1682:B1685"/>
    <mergeCell ref="C1682:D1682"/>
    <mergeCell ref="C1683:D1683"/>
    <mergeCell ref="C1684:D1684"/>
    <mergeCell ref="B1687:B1694"/>
    <mergeCell ref="C1687:D1687"/>
    <mergeCell ref="C1688:D1688"/>
    <mergeCell ref="C1689:E1689"/>
    <mergeCell ref="C1693:D1693"/>
    <mergeCell ref="C1708:D1708"/>
    <mergeCell ref="C1714:D1714"/>
    <mergeCell ref="C1715:D1715"/>
    <mergeCell ref="A1716:A1717"/>
    <mergeCell ref="C1716:D1716"/>
    <mergeCell ref="C1720:D1720"/>
    <mergeCell ref="C1696:D1696"/>
    <mergeCell ref="C1697:D1697"/>
    <mergeCell ref="C1698:D1698"/>
    <mergeCell ref="C1701:D1701"/>
    <mergeCell ref="C1703:D1703"/>
    <mergeCell ref="C1704:D1704"/>
    <mergeCell ref="A1731:A1732"/>
    <mergeCell ref="C1733:D1733"/>
    <mergeCell ref="C1734:D1734"/>
    <mergeCell ref="C1735:D1735"/>
    <mergeCell ref="C1743:D1743"/>
    <mergeCell ref="C1767:D1767"/>
    <mergeCell ref="B1725:B1727"/>
    <mergeCell ref="C1725:D1725"/>
    <mergeCell ref="C1726:D1726"/>
    <mergeCell ref="B1729:B1731"/>
    <mergeCell ref="C1729:D1729"/>
    <mergeCell ref="C1730:D1730"/>
    <mergeCell ref="C1787:D1787"/>
    <mergeCell ref="C1788:D1788"/>
    <mergeCell ref="C1791:D1791"/>
    <mergeCell ref="C1792:D1792"/>
    <mergeCell ref="A1795:A1796"/>
    <mergeCell ref="C1800:D1800"/>
    <mergeCell ref="B1770:B1785"/>
    <mergeCell ref="C1770:D1770"/>
    <mergeCell ref="C1773:D1773"/>
    <mergeCell ref="C1774:D1774"/>
    <mergeCell ref="C1777:D1777"/>
    <mergeCell ref="C1778:D1778"/>
    <mergeCell ref="C1782:D1782"/>
    <mergeCell ref="C1783:D1783"/>
    <mergeCell ref="C1874:D1874"/>
    <mergeCell ref="B1881:B1883"/>
    <mergeCell ref="C1881:D1881"/>
    <mergeCell ref="C1882:D1882"/>
    <mergeCell ref="C1888:D1888"/>
    <mergeCell ref="C1889:D1889"/>
    <mergeCell ref="A1814:A1815"/>
    <mergeCell ref="B1814:B1815"/>
    <mergeCell ref="A1863:A1864"/>
    <mergeCell ref="B1863:B1864"/>
    <mergeCell ref="C1865:D1865"/>
    <mergeCell ref="C1866:D1866"/>
    <mergeCell ref="C1932:D1932"/>
    <mergeCell ref="A1939:A1940"/>
    <mergeCell ref="C1975:D1975"/>
    <mergeCell ref="C1976:D1976"/>
    <mergeCell ref="C1982:D1982"/>
    <mergeCell ref="B1986:B1989"/>
    <mergeCell ref="C1986:D1986"/>
    <mergeCell ref="C1987:D1987"/>
    <mergeCell ref="C1892:D1892"/>
    <mergeCell ref="C1893:D1893"/>
    <mergeCell ref="C1894:D1894"/>
    <mergeCell ref="C1902:D1902"/>
    <mergeCell ref="C1924:D1924"/>
    <mergeCell ref="C1928:D1928"/>
    <mergeCell ref="C2025:D2025"/>
    <mergeCell ref="C2032:D2032"/>
    <mergeCell ref="B2037:B2042"/>
    <mergeCell ref="C2041:D2041"/>
    <mergeCell ref="B2044:B2046"/>
    <mergeCell ref="C2044:D2044"/>
    <mergeCell ref="C2045:D2045"/>
    <mergeCell ref="C1995:D1995"/>
    <mergeCell ref="C2016:D2016"/>
    <mergeCell ref="C2017:D2017"/>
    <mergeCell ref="C2018:D2018"/>
    <mergeCell ref="C2023:D2023"/>
    <mergeCell ref="C2024:D2024"/>
    <mergeCell ref="C2091:D2091"/>
    <mergeCell ref="C2092:D2092"/>
    <mergeCell ref="C2095:D2095"/>
    <mergeCell ref="C2096:D2096"/>
    <mergeCell ref="B2099:B2101"/>
    <mergeCell ref="C2099:D2099"/>
    <mergeCell ref="C2100:D2100"/>
    <mergeCell ref="A2053:A2055"/>
    <mergeCell ref="C2070:D2070"/>
    <mergeCell ref="C2071:D2071"/>
    <mergeCell ref="C2072:D2072"/>
    <mergeCell ref="C2078:D2078"/>
    <mergeCell ref="C2088:D2088"/>
    <mergeCell ref="C2130:D2130"/>
    <mergeCell ref="C2131:D2131"/>
    <mergeCell ref="C2149:D2149"/>
    <mergeCell ref="C2150:D2150"/>
    <mergeCell ref="C2151:D2151"/>
    <mergeCell ref="C2155:D2155"/>
    <mergeCell ref="C2104:D2104"/>
    <mergeCell ref="C2105:D2105"/>
    <mergeCell ref="C2106:D2106"/>
    <mergeCell ref="C2110:D2110"/>
    <mergeCell ref="C2111:D2111"/>
    <mergeCell ref="C2114:D2114"/>
    <mergeCell ref="C2192:D2192"/>
    <mergeCell ref="C2193:D2193"/>
    <mergeCell ref="C2194:D2194"/>
    <mergeCell ref="C2196:D2196"/>
    <mergeCell ref="C2197:D2197"/>
    <mergeCell ref="C2203:D2203"/>
    <mergeCell ref="C2156:D2156"/>
    <mergeCell ref="C2161:D2161"/>
    <mergeCell ref="C2162:D2162"/>
    <mergeCell ref="C2163:D2163"/>
    <mergeCell ref="C2172:D2172"/>
    <mergeCell ref="C2189:D2189"/>
    <mergeCell ref="C2221:D2221"/>
    <mergeCell ref="C2224:D2224"/>
    <mergeCell ref="C2225:D2225"/>
    <mergeCell ref="C2226:D2226"/>
    <mergeCell ref="C2230:D2230"/>
    <mergeCell ref="C2231:D2231"/>
    <mergeCell ref="C2204:D2204"/>
    <mergeCell ref="C2205:D2205"/>
    <mergeCell ref="B2210:B2212"/>
    <mergeCell ref="C2210:D2210"/>
    <mergeCell ref="C2211:D2211"/>
    <mergeCell ref="B2214:B2218"/>
    <mergeCell ref="C2214:D2214"/>
    <mergeCell ref="C2215:D2215"/>
    <mergeCell ref="C2216:D2216"/>
    <mergeCell ref="C2249:D2249"/>
    <mergeCell ref="C2250:D2250"/>
    <mergeCell ref="C2251:D2251"/>
    <mergeCell ref="C2254:D2254"/>
    <mergeCell ref="C2255:D2255"/>
    <mergeCell ref="C2256:D2256"/>
    <mergeCell ref="B2235:B2237"/>
    <mergeCell ref="C2235:D2235"/>
    <mergeCell ref="C2236:D2236"/>
    <mergeCell ref="B2239:B2248"/>
    <mergeCell ref="C2239:D2239"/>
    <mergeCell ref="C2240:D2240"/>
    <mergeCell ref="C2241:D2241"/>
    <mergeCell ref="C2246:D2246"/>
    <mergeCell ref="C2261:D2261"/>
    <mergeCell ref="C2265:D2265"/>
    <mergeCell ref="C2266:D2266"/>
    <mergeCell ref="C2267:D2267"/>
    <mergeCell ref="C2272:D2272"/>
    <mergeCell ref="B2276:B2285"/>
    <mergeCell ref="C2276:D2276"/>
    <mergeCell ref="C2277:D2277"/>
    <mergeCell ref="C2278:D2278"/>
    <mergeCell ref="C2283:D2283"/>
    <mergeCell ref="C2303:D2303"/>
    <mergeCell ref="C2304:D2304"/>
    <mergeCell ref="C2305:D2305"/>
    <mergeCell ref="C2310:D2310"/>
    <mergeCell ref="C2311:D2311"/>
    <mergeCell ref="C2312:D2312"/>
    <mergeCell ref="C2287:D2287"/>
    <mergeCell ref="C2288:D2288"/>
    <mergeCell ref="C2289:D2289"/>
    <mergeCell ref="C2295:D2295"/>
    <mergeCell ref="C2300:D2300"/>
    <mergeCell ref="C2301:D2301"/>
    <mergeCell ref="B2339:B2341"/>
    <mergeCell ref="C2339:D2339"/>
    <mergeCell ref="C2340:D2340"/>
    <mergeCell ref="C2317:D2317"/>
    <mergeCell ref="C2321:D2321"/>
    <mergeCell ref="C2324:D2324"/>
    <mergeCell ref="C2325:D2325"/>
    <mergeCell ref="C2326:D2326"/>
    <mergeCell ref="B2330:B2333"/>
    <mergeCell ref="C2330:D2330"/>
    <mergeCell ref="C2331:D2331"/>
    <mergeCell ref="C2343:D2343"/>
    <mergeCell ref="C2344:D2344"/>
    <mergeCell ref="C2345:D2345"/>
    <mergeCell ref="C2348:D2348"/>
    <mergeCell ref="C2349:D2349"/>
    <mergeCell ref="C2354:D2354"/>
    <mergeCell ref="C2334:D2334"/>
    <mergeCell ref="C2335:D2335"/>
    <mergeCell ref="C2336:D2336"/>
    <mergeCell ref="A2379:A2380"/>
    <mergeCell ref="B2381:B2384"/>
    <mergeCell ref="C2381:D2381"/>
    <mergeCell ref="C2382:D2382"/>
    <mergeCell ref="C2355:D2355"/>
    <mergeCell ref="C2362:D2362"/>
    <mergeCell ref="B2366:B2370"/>
    <mergeCell ref="C2366:D2366"/>
    <mergeCell ref="C2367:D2367"/>
    <mergeCell ref="C2372:D2372"/>
    <mergeCell ref="C2385:D2385"/>
    <mergeCell ref="C2386:D2386"/>
    <mergeCell ref="C2387:D2387"/>
    <mergeCell ref="B2391:B2393"/>
    <mergeCell ref="C2391:D2391"/>
    <mergeCell ref="C2392:D2392"/>
    <mergeCell ref="C2373:D2373"/>
    <mergeCell ref="C2377:D2377"/>
    <mergeCell ref="C2378:D2378"/>
    <mergeCell ref="C2413:D2413"/>
    <mergeCell ref="C2415:D2415"/>
    <mergeCell ref="C2416:D2416"/>
    <mergeCell ref="C2417:D2417"/>
    <mergeCell ref="C2420:D2420"/>
    <mergeCell ref="C2421:D2421"/>
    <mergeCell ref="C2397:D2397"/>
    <mergeCell ref="C2398:D2398"/>
    <mergeCell ref="B2403:B2408"/>
    <mergeCell ref="C2403:D2403"/>
    <mergeCell ref="C2404:D2404"/>
    <mergeCell ref="C2405:D2405"/>
    <mergeCell ref="C2408:D2408"/>
    <mergeCell ref="C2465:D2465"/>
    <mergeCell ref="C2466:D2466"/>
    <mergeCell ref="B2473:B2475"/>
    <mergeCell ref="C2473:D2473"/>
    <mergeCell ref="C2474:D2474"/>
    <mergeCell ref="C2477:D2477"/>
    <mergeCell ref="C2422:D2422"/>
    <mergeCell ref="C2427:D2427"/>
    <mergeCell ref="C2431:D2431"/>
    <mergeCell ref="C2435:D2435"/>
    <mergeCell ref="C2457:D2457"/>
    <mergeCell ref="C2458:D2458"/>
    <mergeCell ref="C2515:D2515"/>
    <mergeCell ref="C2516:D2516"/>
    <mergeCell ref="C2517:D2517"/>
    <mergeCell ref="C2521:D2521"/>
    <mergeCell ref="C2525:D2525"/>
    <mergeCell ref="C2529:D2529"/>
    <mergeCell ref="C2478:D2478"/>
    <mergeCell ref="C2479:D2479"/>
    <mergeCell ref="C2487:D2487"/>
    <mergeCell ref="C2506:D2506"/>
    <mergeCell ref="C2509:D2509"/>
    <mergeCell ref="C2510:D2510"/>
    <mergeCell ref="C2542:D2542"/>
    <mergeCell ref="C2543:D2543"/>
    <mergeCell ref="C2547:D2547"/>
    <mergeCell ref="C2551:D2551"/>
    <mergeCell ref="C2555:D2555"/>
    <mergeCell ref="C2556:D2556"/>
    <mergeCell ref="C2530:D2530"/>
    <mergeCell ref="C2533:D2533"/>
    <mergeCell ref="C2534:D2534"/>
    <mergeCell ref="C2537:D2537"/>
    <mergeCell ref="C2538:D2538"/>
    <mergeCell ref="C2541:D2541"/>
    <mergeCell ref="A2571:D2571"/>
    <mergeCell ref="A2572:D2572"/>
    <mergeCell ref="A2573:D2573"/>
    <mergeCell ref="A2574:D2574"/>
    <mergeCell ref="A2575:D2575"/>
    <mergeCell ref="A2576:D2576"/>
    <mergeCell ref="C2560:D2560"/>
    <mergeCell ref="C2561:D2561"/>
    <mergeCell ref="C2564:D2564"/>
    <mergeCell ref="C2565:D2565"/>
    <mergeCell ref="C2568:D2568"/>
    <mergeCell ref="C2569:D2569"/>
    <mergeCell ref="A2583:D2583"/>
    <mergeCell ref="A2584:D2584"/>
    <mergeCell ref="A2585:D2585"/>
    <mergeCell ref="A2586:D2586"/>
    <mergeCell ref="A2587:D2587"/>
    <mergeCell ref="A2577:D2577"/>
    <mergeCell ref="A2578:D2578"/>
    <mergeCell ref="A2579:D2579"/>
    <mergeCell ref="A2580:D2580"/>
    <mergeCell ref="A2581:D2581"/>
    <mergeCell ref="A2582:D25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Footer>Strona &amp;P z &amp;N</oddFooter>
  </headerFooter>
  <rowBreaks count="34" manualBreakCount="34">
    <brk id="27" max="8" man="1"/>
    <brk id="103" max="8" man="1"/>
    <brk id="226" max="8" man="1"/>
    <brk id="280" max="8" man="1"/>
    <brk id="428" max="8" man="1"/>
    <brk id="462" max="8" man="1"/>
    <brk id="544" max="8" man="1"/>
    <brk id="568" max="8" man="1"/>
    <brk id="714" max="8" man="1"/>
    <brk id="774" max="8" man="1"/>
    <brk id="956" max="8" man="1"/>
    <brk id="1094" max="8" man="1"/>
    <brk id="1119" max="8" man="1"/>
    <brk id="1153" max="8" man="1"/>
    <brk id="1217" max="8" man="1"/>
    <brk id="1299" max="8" man="1"/>
    <brk id="1608" max="8" man="1"/>
    <brk id="1661" max="8" man="1"/>
    <brk id="1707" max="8" man="1"/>
    <brk id="1719" max="8" man="1"/>
    <brk id="1766" max="8" man="1"/>
    <brk id="1864" max="8" man="1"/>
    <brk id="1890" max="8" man="1"/>
    <brk id="2020" max="8" man="1"/>
    <brk id="2049" max="8" man="1"/>
    <brk id="2190" max="8" man="1"/>
    <brk id="2222" max="8" man="1"/>
    <brk id="2285" max="8" man="1"/>
    <brk id="2307" max="8" man="1"/>
    <brk id="2328" max="8" man="1"/>
    <brk id="2370" max="8" man="1"/>
    <brk id="2393" max="8" man="1"/>
    <brk id="2539" max="8" man="1"/>
    <brk id="25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0006-2301-42AD-9102-CBB73826B071}">
  <dimension ref="A1:L276"/>
  <sheetViews>
    <sheetView view="pageBreakPreview" zoomScale="110" zoomScaleNormal="130" zoomScaleSheetLayoutView="110" workbookViewId="0">
      <pane xSplit="3" ySplit="2" topLeftCell="D3" activePane="bottomRight" state="frozen"/>
      <selection activeCell="K153" sqref="K153"/>
      <selection pane="topRight" activeCell="K153" sqref="K153"/>
      <selection pane="bottomLeft" activeCell="K153" sqref="K153"/>
      <selection pane="bottomRight" activeCell="K153" sqref="K153"/>
    </sheetView>
  </sheetViews>
  <sheetFormatPr defaultColWidth="9.140625" defaultRowHeight="12.75"/>
  <cols>
    <col min="1" max="1" width="7.7109375" style="314" customWidth="1"/>
    <col min="2" max="2" width="8.85546875" style="314" bestFit="1" customWidth="1"/>
    <col min="3" max="3" width="10.5703125" style="314" customWidth="1"/>
    <col min="4" max="4" width="41.85546875" style="314" customWidth="1"/>
    <col min="5" max="5" width="16.7109375" style="314" customWidth="1"/>
    <col min="6" max="8" width="13.7109375" style="314" customWidth="1"/>
    <col min="9" max="9" width="12.28515625" style="313" customWidth="1"/>
    <col min="10" max="16384" width="9.140625" style="314"/>
  </cols>
  <sheetData>
    <row r="1" spans="1:12" ht="35.25" customHeight="1">
      <c r="A1" s="5064" t="s">
        <v>246</v>
      </c>
      <c r="B1" s="5064"/>
      <c r="C1" s="5064"/>
      <c r="D1" s="5064"/>
      <c r="E1" s="5064"/>
      <c r="F1" s="5064"/>
      <c r="G1" s="5064"/>
      <c r="H1" s="5064"/>
    </row>
    <row r="2" spans="1:12" ht="18.75" customHeight="1" thickBot="1">
      <c r="A2" s="5065" t="s">
        <v>247</v>
      </c>
      <c r="B2" s="5065"/>
      <c r="C2" s="5065"/>
      <c r="D2" s="5065"/>
      <c r="E2" s="5065"/>
      <c r="F2" s="5065"/>
      <c r="H2" s="315" t="s">
        <v>248</v>
      </c>
    </row>
    <row r="3" spans="1:12" ht="48" customHeight="1" thickBot="1">
      <c r="A3" s="316" t="s">
        <v>1</v>
      </c>
      <c r="B3" s="316" t="s">
        <v>2</v>
      </c>
      <c r="C3" s="316" t="s">
        <v>4</v>
      </c>
      <c r="D3" s="316" t="s">
        <v>3</v>
      </c>
      <c r="E3" s="317" t="s">
        <v>249</v>
      </c>
      <c r="F3" s="317" t="s">
        <v>250</v>
      </c>
      <c r="G3" s="317" t="s">
        <v>251</v>
      </c>
      <c r="H3" s="317" t="s">
        <v>252</v>
      </c>
    </row>
    <row r="4" spans="1:12" ht="10.5" customHeight="1" thickBot="1">
      <c r="A4" s="318" t="s">
        <v>253</v>
      </c>
      <c r="B4" s="318" t="s">
        <v>254</v>
      </c>
      <c r="C4" s="318" t="s">
        <v>255</v>
      </c>
      <c r="D4" s="318" t="s">
        <v>256</v>
      </c>
      <c r="E4" s="318" t="s">
        <v>257</v>
      </c>
      <c r="F4" s="318" t="s">
        <v>258</v>
      </c>
      <c r="G4" s="318" t="s">
        <v>259</v>
      </c>
      <c r="H4" s="318" t="s">
        <v>260</v>
      </c>
    </row>
    <row r="5" spans="1:12" ht="23.25" customHeight="1">
      <c r="A5" s="5066" t="s">
        <v>13</v>
      </c>
      <c r="B5" s="5068" t="s">
        <v>261</v>
      </c>
      <c r="C5" s="5068"/>
      <c r="D5" s="5068"/>
      <c r="E5" s="319">
        <f>SUM(E6,E9)</f>
        <v>308000</v>
      </c>
      <c r="F5" s="319">
        <f>SUM(F6,F9)</f>
        <v>4614204</v>
      </c>
      <c r="G5" s="319">
        <f>SUM(G6,G9)</f>
        <v>4612298.4800000004</v>
      </c>
      <c r="H5" s="320">
        <f t="shared" ref="H5:H52" si="0">G5/F5</f>
        <v>0.99958703169604124</v>
      </c>
    </row>
    <row r="6" spans="1:12" s="313" customFormat="1" hidden="1">
      <c r="A6" s="5067"/>
      <c r="B6" s="5069" t="s">
        <v>262</v>
      </c>
      <c r="C6" s="5072" t="s">
        <v>91</v>
      </c>
      <c r="D6" s="5072"/>
      <c r="E6" s="321">
        <f>SUM(E7:E8)</f>
        <v>0</v>
      </c>
      <c r="F6" s="321">
        <f t="shared" ref="F6:G6" si="1">SUM(F7:F8)</f>
        <v>0</v>
      </c>
      <c r="G6" s="321">
        <f t="shared" si="1"/>
        <v>0</v>
      </c>
      <c r="H6" s="322" t="e">
        <f t="shared" si="0"/>
        <v>#DIV/0!</v>
      </c>
      <c r="J6" s="314"/>
      <c r="K6" s="314"/>
      <c r="L6" s="314"/>
    </row>
    <row r="7" spans="1:12" s="313" customFormat="1" hidden="1">
      <c r="A7" s="5067"/>
      <c r="B7" s="5070"/>
      <c r="C7" s="323" t="s">
        <v>263</v>
      </c>
      <c r="D7" s="324"/>
      <c r="E7" s="325">
        <v>0</v>
      </c>
      <c r="F7" s="325"/>
      <c r="G7" s="326"/>
      <c r="H7" s="327" t="e">
        <f t="shared" si="0"/>
        <v>#DIV/0!</v>
      </c>
      <c r="J7" s="314"/>
      <c r="K7" s="314"/>
      <c r="L7" s="314"/>
    </row>
    <row r="8" spans="1:12" s="313" customFormat="1" hidden="1">
      <c r="A8" s="5067"/>
      <c r="B8" s="5071"/>
      <c r="C8" s="323" t="s">
        <v>264</v>
      </c>
      <c r="D8" s="324"/>
      <c r="E8" s="325">
        <v>0</v>
      </c>
      <c r="F8" s="325"/>
      <c r="G8" s="326"/>
      <c r="H8" s="327" t="e">
        <f t="shared" si="0"/>
        <v>#DIV/0!</v>
      </c>
      <c r="J8" s="314"/>
      <c r="K8" s="314"/>
      <c r="L8" s="314"/>
    </row>
    <row r="9" spans="1:12" s="313" customFormat="1">
      <c r="A9" s="5067"/>
      <c r="B9" s="5073" t="s">
        <v>265</v>
      </c>
      <c r="C9" s="5072" t="s">
        <v>95</v>
      </c>
      <c r="D9" s="5072"/>
      <c r="E9" s="321">
        <f>SUM(E10)</f>
        <v>308000</v>
      </c>
      <c r="F9" s="321">
        <f>SUM(F10)</f>
        <v>4614204</v>
      </c>
      <c r="G9" s="321">
        <f>SUM(G10)</f>
        <v>4612298.4800000004</v>
      </c>
      <c r="H9" s="322">
        <f t="shared" si="0"/>
        <v>0.99958703169604124</v>
      </c>
      <c r="J9" s="314"/>
      <c r="K9" s="314"/>
      <c r="L9" s="314"/>
    </row>
    <row r="10" spans="1:12" s="313" customFormat="1">
      <c r="A10" s="5067"/>
      <c r="B10" s="5073"/>
      <c r="C10" s="323" t="s">
        <v>266</v>
      </c>
      <c r="D10" s="328"/>
      <c r="E10" s="325">
        <v>308000</v>
      </c>
      <c r="F10" s="325">
        <v>4614204</v>
      </c>
      <c r="G10" s="326">
        <v>4612298.4800000004</v>
      </c>
      <c r="H10" s="327">
        <f t="shared" si="0"/>
        <v>0.99958703169604124</v>
      </c>
      <c r="J10" s="314"/>
      <c r="K10" s="314"/>
      <c r="L10" s="314"/>
    </row>
    <row r="11" spans="1:12" s="313" customFormat="1" ht="23.25" customHeight="1">
      <c r="A11" s="5074" t="s">
        <v>27</v>
      </c>
      <c r="B11" s="5076" t="s">
        <v>28</v>
      </c>
      <c r="C11" s="5076"/>
      <c r="D11" s="5076"/>
      <c r="E11" s="329">
        <f>SUM(E12,E14)</f>
        <v>53030000</v>
      </c>
      <c r="F11" s="329">
        <f>SUM(F12,F14)</f>
        <v>38666736</v>
      </c>
      <c r="G11" s="329">
        <f>SUM(G12,G14)</f>
        <v>34576837.030000001</v>
      </c>
      <c r="H11" s="330">
        <f t="shared" si="0"/>
        <v>0.89422694043789996</v>
      </c>
      <c r="J11" s="314"/>
      <c r="K11" s="314"/>
      <c r="L11" s="314"/>
    </row>
    <row r="12" spans="1:12" s="313" customFormat="1">
      <c r="A12" s="5075"/>
      <c r="B12" s="5073" t="s">
        <v>118</v>
      </c>
      <c r="C12" s="5072" t="s">
        <v>267</v>
      </c>
      <c r="D12" s="5072"/>
      <c r="E12" s="321">
        <f>SUM(E13)</f>
        <v>52750000</v>
      </c>
      <c r="F12" s="321">
        <f>SUM(F13)</f>
        <v>38422660</v>
      </c>
      <c r="G12" s="321">
        <f>SUM(G13)</f>
        <v>34332761.539999999</v>
      </c>
      <c r="H12" s="331">
        <f t="shared" si="0"/>
        <v>0.89355504121786467</v>
      </c>
      <c r="J12" s="314"/>
      <c r="K12" s="314"/>
      <c r="L12" s="314"/>
    </row>
    <row r="13" spans="1:12" s="313" customFormat="1">
      <c r="A13" s="5075"/>
      <c r="B13" s="5073"/>
      <c r="C13" s="323" t="s">
        <v>266</v>
      </c>
      <c r="D13" s="332"/>
      <c r="E13" s="325">
        <v>52750000</v>
      </c>
      <c r="F13" s="325">
        <v>38422660</v>
      </c>
      <c r="G13" s="326">
        <v>34332761.539999999</v>
      </c>
      <c r="H13" s="333">
        <f t="shared" si="0"/>
        <v>0.89355504121786467</v>
      </c>
      <c r="J13" s="314"/>
      <c r="K13" s="314"/>
      <c r="L13" s="314"/>
    </row>
    <row r="14" spans="1:12" s="313" customFormat="1">
      <c r="A14" s="5075"/>
      <c r="B14" s="5073" t="s">
        <v>129</v>
      </c>
      <c r="C14" s="5072" t="s">
        <v>95</v>
      </c>
      <c r="D14" s="5072"/>
      <c r="E14" s="321">
        <f>SUM(E15)</f>
        <v>280000</v>
      </c>
      <c r="F14" s="321">
        <f>SUM(F15)</f>
        <v>244076</v>
      </c>
      <c r="G14" s="321">
        <f>SUM(G15)</f>
        <v>244075.49</v>
      </c>
      <c r="H14" s="331">
        <f t="shared" si="0"/>
        <v>0.99999791048689746</v>
      </c>
      <c r="J14" s="314"/>
      <c r="K14" s="314"/>
      <c r="L14" s="314"/>
    </row>
    <row r="15" spans="1:12" s="313" customFormat="1">
      <c r="A15" s="5066"/>
      <c r="B15" s="5073"/>
      <c r="C15" s="323" t="s">
        <v>266</v>
      </c>
      <c r="D15" s="332"/>
      <c r="E15" s="325">
        <v>280000</v>
      </c>
      <c r="F15" s="325">
        <v>244076</v>
      </c>
      <c r="G15" s="326">
        <v>244075.49</v>
      </c>
      <c r="H15" s="333">
        <f t="shared" si="0"/>
        <v>0.99999791048689746</v>
      </c>
      <c r="J15" s="314"/>
      <c r="K15" s="314"/>
      <c r="L15" s="314"/>
    </row>
    <row r="16" spans="1:12" s="313" customFormat="1" ht="23.25" customHeight="1">
      <c r="A16" s="5074" t="s">
        <v>130</v>
      </c>
      <c r="B16" s="5076" t="s">
        <v>131</v>
      </c>
      <c r="C16" s="5076"/>
      <c r="D16" s="5076"/>
      <c r="E16" s="329">
        <f>SUM(E17)</f>
        <v>50000</v>
      </c>
      <c r="F16" s="329">
        <f t="shared" ref="E16:G17" si="2">SUM(F17)</f>
        <v>50000</v>
      </c>
      <c r="G16" s="329">
        <f t="shared" si="2"/>
        <v>50000</v>
      </c>
      <c r="H16" s="330">
        <f t="shared" si="0"/>
        <v>1</v>
      </c>
      <c r="J16" s="314"/>
      <c r="K16" s="314"/>
      <c r="L16" s="314"/>
    </row>
    <row r="17" spans="1:12" s="313" customFormat="1">
      <c r="A17" s="5075"/>
      <c r="B17" s="5073" t="s">
        <v>133</v>
      </c>
      <c r="C17" s="5072" t="s">
        <v>95</v>
      </c>
      <c r="D17" s="5072"/>
      <c r="E17" s="321">
        <f t="shared" si="2"/>
        <v>50000</v>
      </c>
      <c r="F17" s="321">
        <f t="shared" si="2"/>
        <v>50000</v>
      </c>
      <c r="G17" s="321">
        <f t="shared" si="2"/>
        <v>50000</v>
      </c>
      <c r="H17" s="331">
        <f t="shared" si="0"/>
        <v>1</v>
      </c>
      <c r="J17" s="314"/>
      <c r="K17" s="314"/>
      <c r="L17" s="314"/>
    </row>
    <row r="18" spans="1:12" s="313" customFormat="1">
      <c r="A18" s="5075"/>
      <c r="B18" s="5069"/>
      <c r="C18" s="334" t="s">
        <v>266</v>
      </c>
      <c r="D18" s="335"/>
      <c r="E18" s="336">
        <v>50000</v>
      </c>
      <c r="F18" s="336">
        <v>50000</v>
      </c>
      <c r="G18" s="337">
        <v>50000</v>
      </c>
      <c r="H18" s="338">
        <f t="shared" si="0"/>
        <v>1</v>
      </c>
      <c r="J18" s="314"/>
      <c r="K18" s="314"/>
      <c r="L18" s="314"/>
    </row>
    <row r="19" spans="1:12" s="313" customFormat="1" ht="23.25" customHeight="1">
      <c r="A19" s="5074" t="s">
        <v>189</v>
      </c>
      <c r="B19" s="5076" t="s">
        <v>191</v>
      </c>
      <c r="C19" s="5076"/>
      <c r="D19" s="5076"/>
      <c r="E19" s="329">
        <f>SUM(E20,E22)</f>
        <v>386000</v>
      </c>
      <c r="F19" s="329">
        <f t="shared" ref="F19:G19" si="3">SUM(F20,F22)</f>
        <v>386000</v>
      </c>
      <c r="G19" s="329">
        <f t="shared" si="3"/>
        <v>386000</v>
      </c>
      <c r="H19" s="330">
        <f t="shared" si="0"/>
        <v>1</v>
      </c>
      <c r="J19" s="314"/>
      <c r="K19" s="314"/>
      <c r="L19" s="314"/>
    </row>
    <row r="20" spans="1:12" s="313" customFormat="1">
      <c r="A20" s="5075"/>
      <c r="B20" s="5073" t="s">
        <v>268</v>
      </c>
      <c r="C20" s="5072" t="s">
        <v>269</v>
      </c>
      <c r="D20" s="5072"/>
      <c r="E20" s="321">
        <f>SUM(E21)</f>
        <v>386000</v>
      </c>
      <c r="F20" s="321">
        <f>SUM(F21)</f>
        <v>386000</v>
      </c>
      <c r="G20" s="321">
        <f>SUM(G21)</f>
        <v>386000</v>
      </c>
      <c r="H20" s="331">
        <f t="shared" si="0"/>
        <v>1</v>
      </c>
      <c r="J20" s="314"/>
      <c r="K20" s="314"/>
      <c r="L20" s="314"/>
    </row>
    <row r="21" spans="1:12" s="313" customFormat="1">
      <c r="A21" s="5075"/>
      <c r="B21" s="5073"/>
      <c r="C21" s="323" t="s">
        <v>266</v>
      </c>
      <c r="D21" s="332"/>
      <c r="E21" s="325">
        <v>386000</v>
      </c>
      <c r="F21" s="325">
        <v>386000</v>
      </c>
      <c r="G21" s="326">
        <v>386000</v>
      </c>
      <c r="H21" s="333">
        <f t="shared" si="0"/>
        <v>1</v>
      </c>
      <c r="J21" s="314"/>
      <c r="K21" s="314"/>
      <c r="L21" s="314"/>
    </row>
    <row r="22" spans="1:12" s="313" customFormat="1" hidden="1">
      <c r="A22" s="5075"/>
      <c r="B22" s="5069" t="s">
        <v>270</v>
      </c>
      <c r="C22" s="5072" t="s">
        <v>95</v>
      </c>
      <c r="D22" s="5072"/>
      <c r="E22" s="321">
        <f>SUM(E23:E23)</f>
        <v>0</v>
      </c>
      <c r="F22" s="321">
        <f>SUM(F23:F23)</f>
        <v>0</v>
      </c>
      <c r="G22" s="321">
        <f>SUM(G23:G23)</f>
        <v>0</v>
      </c>
      <c r="H22" s="331"/>
      <c r="J22" s="314"/>
      <c r="K22" s="314"/>
      <c r="L22" s="314"/>
    </row>
    <row r="23" spans="1:12" s="313" customFormat="1" hidden="1">
      <c r="A23" s="5075"/>
      <c r="B23" s="5070"/>
      <c r="C23" s="323" t="s">
        <v>266</v>
      </c>
      <c r="D23" s="332"/>
      <c r="E23" s="325"/>
      <c r="F23" s="325"/>
      <c r="G23" s="326"/>
      <c r="H23" s="333"/>
      <c r="J23" s="314"/>
      <c r="K23" s="314"/>
      <c r="L23" s="314"/>
    </row>
    <row r="24" spans="1:12" s="313" customFormat="1" ht="23.25" customHeight="1">
      <c r="A24" s="5074" t="s">
        <v>92</v>
      </c>
      <c r="B24" s="5076" t="s">
        <v>93</v>
      </c>
      <c r="C24" s="5076"/>
      <c r="D24" s="5076"/>
      <c r="E24" s="329">
        <f>SUM(E25,E27,E29)</f>
        <v>392000</v>
      </c>
      <c r="F24" s="329">
        <f>SUM(F25,F27,F29)</f>
        <v>392000</v>
      </c>
      <c r="G24" s="329">
        <f t="shared" ref="G24" si="4">SUM(G25,G27,G29)</f>
        <v>384728.63</v>
      </c>
      <c r="H24" s="330">
        <f t="shared" si="0"/>
        <v>0.98145058673469388</v>
      </c>
      <c r="J24" s="314"/>
      <c r="K24" s="314"/>
      <c r="L24" s="314"/>
    </row>
    <row r="25" spans="1:12" s="313" customFormat="1">
      <c r="A25" s="5075"/>
      <c r="B25" s="5073" t="s">
        <v>193</v>
      </c>
      <c r="C25" s="5072" t="s">
        <v>194</v>
      </c>
      <c r="D25" s="5072"/>
      <c r="E25" s="321">
        <f>SUM(E26)</f>
        <v>156000</v>
      </c>
      <c r="F25" s="321">
        <f>SUM(F26)</f>
        <v>156000</v>
      </c>
      <c r="G25" s="321">
        <f>SUM(G26)</f>
        <v>156000</v>
      </c>
      <c r="H25" s="331">
        <f t="shared" si="0"/>
        <v>1</v>
      </c>
      <c r="J25" s="314"/>
      <c r="K25" s="314"/>
      <c r="L25" s="314"/>
    </row>
    <row r="26" spans="1:12" s="313" customFormat="1">
      <c r="A26" s="5075"/>
      <c r="B26" s="5073"/>
      <c r="C26" s="323" t="s">
        <v>266</v>
      </c>
      <c r="D26" s="332"/>
      <c r="E26" s="325">
        <v>156000</v>
      </c>
      <c r="F26" s="325">
        <v>156000</v>
      </c>
      <c r="G26" s="326">
        <v>156000</v>
      </c>
      <c r="H26" s="333">
        <f t="shared" si="0"/>
        <v>1</v>
      </c>
      <c r="J26" s="314"/>
      <c r="K26" s="314"/>
      <c r="L26" s="314"/>
    </row>
    <row r="27" spans="1:12" s="313" customFormat="1">
      <c r="A27" s="5075"/>
      <c r="B27" s="5073" t="s">
        <v>271</v>
      </c>
      <c r="C27" s="5072" t="s">
        <v>272</v>
      </c>
      <c r="D27" s="5072"/>
      <c r="E27" s="321">
        <f>SUM(E28)</f>
        <v>20000</v>
      </c>
      <c r="F27" s="321">
        <f>SUM(F28)</f>
        <v>20000</v>
      </c>
      <c r="G27" s="321">
        <f>SUM(G28)</f>
        <v>12733.05</v>
      </c>
      <c r="H27" s="331">
        <f t="shared" si="0"/>
        <v>0.63665249999999995</v>
      </c>
      <c r="J27" s="314"/>
      <c r="K27" s="314"/>
      <c r="L27" s="314"/>
    </row>
    <row r="28" spans="1:12" s="313" customFormat="1">
      <c r="A28" s="5075"/>
      <c r="B28" s="5073"/>
      <c r="C28" s="323" t="s">
        <v>266</v>
      </c>
      <c r="D28" s="332"/>
      <c r="E28" s="325">
        <v>20000</v>
      </c>
      <c r="F28" s="325">
        <v>20000</v>
      </c>
      <c r="G28" s="326">
        <v>12733.05</v>
      </c>
      <c r="H28" s="333">
        <f t="shared" si="0"/>
        <v>0.63665249999999995</v>
      </c>
      <c r="J28" s="314"/>
      <c r="K28" s="314"/>
      <c r="L28" s="314"/>
    </row>
    <row r="29" spans="1:12" s="313" customFormat="1">
      <c r="A29" s="5075"/>
      <c r="B29" s="5069" t="s">
        <v>273</v>
      </c>
      <c r="C29" s="5077" t="s">
        <v>274</v>
      </c>
      <c r="D29" s="5077"/>
      <c r="E29" s="321">
        <f>SUM(E30:E30)</f>
        <v>216000</v>
      </c>
      <c r="F29" s="321">
        <f>SUM(F30:F30)</f>
        <v>216000</v>
      </c>
      <c r="G29" s="321">
        <f>SUM(G30:G30)</f>
        <v>215995.58</v>
      </c>
      <c r="H29" s="331">
        <f t="shared" si="0"/>
        <v>0.99997953703703701</v>
      </c>
      <c r="J29" s="314"/>
      <c r="K29" s="314"/>
      <c r="L29" s="314"/>
    </row>
    <row r="30" spans="1:12" s="313" customFormat="1" ht="12" customHeight="1">
      <c r="A30" s="5075"/>
      <c r="B30" s="5070"/>
      <c r="C30" s="334" t="s">
        <v>266</v>
      </c>
      <c r="D30" s="335"/>
      <c r="E30" s="336">
        <v>216000</v>
      </c>
      <c r="F30" s="336">
        <v>216000</v>
      </c>
      <c r="G30" s="337">
        <v>215995.58</v>
      </c>
      <c r="H30" s="338">
        <f t="shared" si="0"/>
        <v>0.99997953703703701</v>
      </c>
      <c r="J30" s="314"/>
      <c r="K30" s="314"/>
      <c r="L30" s="314"/>
    </row>
    <row r="31" spans="1:12" s="313" customFormat="1" ht="0.6" customHeight="1">
      <c r="A31" s="5074" t="s">
        <v>275</v>
      </c>
      <c r="B31" s="5078" t="s">
        <v>276</v>
      </c>
      <c r="C31" s="5078"/>
      <c r="D31" s="5078"/>
      <c r="E31" s="329">
        <f t="shared" ref="E31:G32" si="5">SUM(E32)</f>
        <v>0</v>
      </c>
      <c r="F31" s="329">
        <f t="shared" si="5"/>
        <v>0</v>
      </c>
      <c r="G31" s="329">
        <f t="shared" si="5"/>
        <v>0</v>
      </c>
      <c r="H31" s="330" t="e">
        <f t="shared" si="0"/>
        <v>#DIV/0!</v>
      </c>
      <c r="J31" s="314"/>
      <c r="K31" s="314"/>
      <c r="L31" s="314"/>
    </row>
    <row r="32" spans="1:12" s="313" customFormat="1" ht="6.75" hidden="1" customHeight="1">
      <c r="A32" s="5075"/>
      <c r="B32" s="5073" t="s">
        <v>277</v>
      </c>
      <c r="C32" s="5077" t="s">
        <v>278</v>
      </c>
      <c r="D32" s="5077"/>
      <c r="E32" s="321">
        <f t="shared" si="5"/>
        <v>0</v>
      </c>
      <c r="F32" s="321">
        <f t="shared" si="5"/>
        <v>0</v>
      </c>
      <c r="G32" s="321">
        <f t="shared" si="5"/>
        <v>0</v>
      </c>
      <c r="H32" s="331" t="e">
        <f t="shared" si="0"/>
        <v>#DIV/0!</v>
      </c>
      <c r="J32" s="314"/>
      <c r="K32" s="314"/>
      <c r="L32" s="314"/>
    </row>
    <row r="33" spans="1:12" s="313" customFormat="1" ht="6.75" hidden="1" customHeight="1">
      <c r="A33" s="5066"/>
      <c r="B33" s="5073"/>
      <c r="C33" s="323" t="s">
        <v>266</v>
      </c>
      <c r="D33" s="332"/>
      <c r="E33" s="325"/>
      <c r="F33" s="325"/>
      <c r="G33" s="326"/>
      <c r="H33" s="333" t="e">
        <f t="shared" si="0"/>
        <v>#DIV/0!</v>
      </c>
      <c r="J33" s="314"/>
      <c r="K33" s="314"/>
      <c r="L33" s="314"/>
    </row>
    <row r="34" spans="1:12" s="313" customFormat="1" ht="23.25" customHeight="1">
      <c r="A34" s="5074" t="s">
        <v>149</v>
      </c>
      <c r="B34" s="5076" t="s">
        <v>150</v>
      </c>
      <c r="C34" s="5076"/>
      <c r="D34" s="5076"/>
      <c r="E34" s="329">
        <f t="shared" ref="E34:G35" si="6">SUM(E35)</f>
        <v>0</v>
      </c>
      <c r="F34" s="329">
        <f t="shared" si="6"/>
        <v>13988</v>
      </c>
      <c r="G34" s="329">
        <f t="shared" si="6"/>
        <v>13690.21</v>
      </c>
      <c r="H34" s="330">
        <f t="shared" si="0"/>
        <v>0.97871103803259929</v>
      </c>
      <c r="J34" s="314"/>
      <c r="K34" s="314"/>
      <c r="L34" s="314"/>
    </row>
    <row r="35" spans="1:12" s="313" customFormat="1" ht="39" customHeight="1">
      <c r="A35" s="5075"/>
      <c r="B35" s="5073" t="s">
        <v>279</v>
      </c>
      <c r="C35" s="5077" t="s">
        <v>280</v>
      </c>
      <c r="D35" s="5077"/>
      <c r="E35" s="321">
        <f t="shared" si="6"/>
        <v>0</v>
      </c>
      <c r="F35" s="321">
        <f t="shared" si="6"/>
        <v>13988</v>
      </c>
      <c r="G35" s="321">
        <f t="shared" si="6"/>
        <v>13690.21</v>
      </c>
      <c r="H35" s="331">
        <f t="shared" si="0"/>
        <v>0.97871103803259929</v>
      </c>
      <c r="J35" s="314"/>
      <c r="K35" s="314"/>
      <c r="L35" s="314"/>
    </row>
    <row r="36" spans="1:12" s="313" customFormat="1">
      <c r="A36" s="5066"/>
      <c r="B36" s="5073"/>
      <c r="C36" s="323" t="s">
        <v>266</v>
      </c>
      <c r="D36" s="332"/>
      <c r="E36" s="325"/>
      <c r="F36" s="325">
        <v>13988</v>
      </c>
      <c r="G36" s="326">
        <v>13690.21</v>
      </c>
      <c r="H36" s="333">
        <f t="shared" si="0"/>
        <v>0.97871103803259929</v>
      </c>
      <c r="J36" s="314"/>
      <c r="K36" s="314"/>
      <c r="L36" s="314"/>
    </row>
    <row r="37" spans="1:12" s="313" customFormat="1" ht="23.25" customHeight="1">
      <c r="A37" s="5074" t="s">
        <v>40</v>
      </c>
      <c r="B37" s="5076" t="s">
        <v>41</v>
      </c>
      <c r="C37" s="5076"/>
      <c r="D37" s="5076"/>
      <c r="E37" s="329">
        <f>SUM(E38,E40,E42,E44)</f>
        <v>55000</v>
      </c>
      <c r="F37" s="329">
        <f t="shared" ref="F37:G37" si="7">SUM(F38,F40,F42,F44)</f>
        <v>15634348</v>
      </c>
      <c r="G37" s="329">
        <f t="shared" si="7"/>
        <v>14885325.51</v>
      </c>
      <c r="H37" s="330">
        <f t="shared" si="0"/>
        <v>0.95209122311976169</v>
      </c>
      <c r="J37" s="314"/>
      <c r="K37" s="314"/>
      <c r="L37" s="314"/>
    </row>
    <row r="38" spans="1:12" s="313" customFormat="1">
      <c r="A38" s="5075"/>
      <c r="B38" s="5073" t="s">
        <v>183</v>
      </c>
      <c r="C38" s="5072" t="s">
        <v>184</v>
      </c>
      <c r="D38" s="5072"/>
      <c r="E38" s="321">
        <f>SUM(E39)</f>
        <v>0</v>
      </c>
      <c r="F38" s="321">
        <f>SUM(F39)</f>
        <v>920000</v>
      </c>
      <c r="G38" s="321">
        <f>SUM(G39)</f>
        <v>920000</v>
      </c>
      <c r="H38" s="331">
        <f t="shared" si="0"/>
        <v>1</v>
      </c>
      <c r="J38" s="314"/>
      <c r="K38" s="314"/>
      <c r="L38" s="314"/>
    </row>
    <row r="39" spans="1:12" s="313" customFormat="1">
      <c r="A39" s="5075"/>
      <c r="B39" s="5073"/>
      <c r="C39" s="323" t="s">
        <v>263</v>
      </c>
      <c r="D39" s="332"/>
      <c r="E39" s="325"/>
      <c r="F39" s="325">
        <v>920000</v>
      </c>
      <c r="G39" s="326">
        <v>920000</v>
      </c>
      <c r="H39" s="333">
        <f t="shared" si="0"/>
        <v>1</v>
      </c>
      <c r="J39" s="314"/>
      <c r="K39" s="314"/>
      <c r="L39" s="314"/>
    </row>
    <row r="40" spans="1:12" s="313" customFormat="1" ht="37.5" customHeight="1">
      <c r="A40" s="5075"/>
      <c r="B40" s="5073" t="s">
        <v>281</v>
      </c>
      <c r="C40" s="5079" t="s">
        <v>282</v>
      </c>
      <c r="D40" s="5080"/>
      <c r="E40" s="321">
        <f>SUM(E41)</f>
        <v>25000</v>
      </c>
      <c r="F40" s="321">
        <f>SUM(F41)</f>
        <v>11610</v>
      </c>
      <c r="G40" s="321">
        <f>SUM(G41)</f>
        <v>11048.4</v>
      </c>
      <c r="H40" s="331">
        <f t="shared" si="0"/>
        <v>0.95162790697674415</v>
      </c>
      <c r="J40" s="314"/>
      <c r="K40" s="314"/>
      <c r="L40" s="314"/>
    </row>
    <row r="41" spans="1:12" s="313" customFormat="1">
      <c r="A41" s="5075"/>
      <c r="B41" s="5073"/>
      <c r="C41" s="323" t="s">
        <v>266</v>
      </c>
      <c r="D41" s="332"/>
      <c r="E41" s="325">
        <v>25000</v>
      </c>
      <c r="F41" s="325">
        <v>11610</v>
      </c>
      <c r="G41" s="326">
        <v>11048.4</v>
      </c>
      <c r="H41" s="333">
        <f t="shared" si="0"/>
        <v>0.95162790697674415</v>
      </c>
      <c r="J41" s="314"/>
      <c r="K41" s="314"/>
      <c r="L41" s="314"/>
    </row>
    <row r="42" spans="1:12" s="313" customFormat="1">
      <c r="A42" s="5075"/>
      <c r="B42" s="5073" t="s">
        <v>283</v>
      </c>
      <c r="C42" s="5072" t="s">
        <v>284</v>
      </c>
      <c r="D42" s="5072"/>
      <c r="E42" s="321">
        <f>SUM(E43)</f>
        <v>0</v>
      </c>
      <c r="F42" s="321">
        <f>SUM(F43)</f>
        <v>14653338</v>
      </c>
      <c r="G42" s="321">
        <f>SUM(G43)</f>
        <v>13905656.619999999</v>
      </c>
      <c r="H42" s="331">
        <f t="shared" si="0"/>
        <v>0.948975354284464</v>
      </c>
      <c r="J42" s="314"/>
      <c r="K42" s="314"/>
      <c r="L42" s="314"/>
    </row>
    <row r="43" spans="1:12" s="313" customFormat="1">
      <c r="A43" s="5075"/>
      <c r="B43" s="5073"/>
      <c r="C43" s="323" t="s">
        <v>266</v>
      </c>
      <c r="D43" s="332"/>
      <c r="E43" s="325"/>
      <c r="F43" s="325">
        <v>14653338</v>
      </c>
      <c r="G43" s="326">
        <v>13905656.619999999</v>
      </c>
      <c r="H43" s="333">
        <f t="shared" si="0"/>
        <v>0.948975354284464</v>
      </c>
      <c r="J43" s="314"/>
      <c r="K43" s="314"/>
      <c r="L43" s="314"/>
    </row>
    <row r="44" spans="1:12" s="313" customFormat="1">
      <c r="A44" s="5075"/>
      <c r="B44" s="5073" t="s">
        <v>285</v>
      </c>
      <c r="C44" s="5072" t="s">
        <v>95</v>
      </c>
      <c r="D44" s="5072"/>
      <c r="E44" s="321">
        <f>SUM(E45)</f>
        <v>30000</v>
      </c>
      <c r="F44" s="321">
        <f>SUM(F45)</f>
        <v>49400</v>
      </c>
      <c r="G44" s="321">
        <f>SUM(G45)</f>
        <v>48620.49</v>
      </c>
      <c r="H44" s="331">
        <f t="shared" si="0"/>
        <v>0.98422044534412956</v>
      </c>
      <c r="J44" s="314"/>
      <c r="K44" s="314"/>
      <c r="L44" s="314"/>
    </row>
    <row r="45" spans="1:12" s="313" customFormat="1">
      <c r="A45" s="5066"/>
      <c r="B45" s="5073"/>
      <c r="C45" s="323" t="s">
        <v>266</v>
      </c>
      <c r="D45" s="332"/>
      <c r="E45" s="325">
        <v>30000</v>
      </c>
      <c r="F45" s="325">
        <v>49400</v>
      </c>
      <c r="G45" s="326">
        <v>48620.49</v>
      </c>
      <c r="H45" s="333">
        <f>G45/F45</f>
        <v>0.98422044534412956</v>
      </c>
      <c r="J45" s="314"/>
      <c r="K45" s="314"/>
      <c r="L45" s="314"/>
    </row>
    <row r="46" spans="1:12" s="313" customFormat="1" ht="23.25" customHeight="1">
      <c r="A46" s="5074" t="s">
        <v>157</v>
      </c>
      <c r="B46" s="5076" t="s">
        <v>158</v>
      </c>
      <c r="C46" s="5076"/>
      <c r="D46" s="5076"/>
      <c r="E46" s="329">
        <f t="shared" ref="E46:G47" si="8">SUM(E47)</f>
        <v>1000</v>
      </c>
      <c r="F46" s="329">
        <f t="shared" si="8"/>
        <v>1000</v>
      </c>
      <c r="G46" s="329">
        <f t="shared" si="8"/>
        <v>0</v>
      </c>
      <c r="H46" s="330">
        <f>G46/F46</f>
        <v>0</v>
      </c>
      <c r="J46" s="314"/>
      <c r="K46" s="314"/>
      <c r="L46" s="314"/>
    </row>
    <row r="47" spans="1:12" s="313" customFormat="1">
      <c r="A47" s="5075"/>
      <c r="B47" s="5073" t="s">
        <v>286</v>
      </c>
      <c r="C47" s="5072" t="s">
        <v>287</v>
      </c>
      <c r="D47" s="5072"/>
      <c r="E47" s="321">
        <f t="shared" si="8"/>
        <v>1000</v>
      </c>
      <c r="F47" s="321">
        <f t="shared" si="8"/>
        <v>1000</v>
      </c>
      <c r="G47" s="321">
        <f t="shared" si="8"/>
        <v>0</v>
      </c>
      <c r="H47" s="331">
        <f>G47/F47</f>
        <v>0</v>
      </c>
      <c r="J47" s="314"/>
      <c r="K47" s="314"/>
      <c r="L47" s="314"/>
    </row>
    <row r="48" spans="1:12" s="313" customFormat="1">
      <c r="A48" s="5066"/>
      <c r="B48" s="5073"/>
      <c r="C48" s="323" t="s">
        <v>266</v>
      </c>
      <c r="D48" s="332"/>
      <c r="E48" s="325">
        <v>1000</v>
      </c>
      <c r="F48" s="325">
        <v>1000</v>
      </c>
      <c r="G48" s="326"/>
      <c r="H48" s="333">
        <f>G48/F48</f>
        <v>0</v>
      </c>
      <c r="J48" s="314"/>
      <c r="K48" s="314"/>
      <c r="L48" s="314"/>
    </row>
    <row r="49" spans="1:12" s="313" customFormat="1" ht="23.25" customHeight="1">
      <c r="A49" s="5074" t="s">
        <v>101</v>
      </c>
      <c r="B49" s="5076" t="s">
        <v>102</v>
      </c>
      <c r="C49" s="5076"/>
      <c r="D49" s="5076"/>
      <c r="E49" s="329">
        <f>SUM(E50)</f>
        <v>883000</v>
      </c>
      <c r="F49" s="329">
        <f>SUM(F50)</f>
        <v>1592846</v>
      </c>
      <c r="G49" s="329">
        <f>SUM(G50)</f>
        <v>1589051.39</v>
      </c>
      <c r="H49" s="330">
        <f t="shared" si="0"/>
        <v>0.99761771696698853</v>
      </c>
      <c r="J49" s="314"/>
      <c r="K49" s="314"/>
      <c r="L49" s="314"/>
    </row>
    <row r="50" spans="1:12" s="313" customFormat="1">
      <c r="A50" s="5075"/>
      <c r="B50" s="5069" t="s">
        <v>288</v>
      </c>
      <c r="C50" s="5072" t="s">
        <v>289</v>
      </c>
      <c r="D50" s="5072"/>
      <c r="E50" s="321">
        <f>SUM(E51:E51)</f>
        <v>883000</v>
      </c>
      <c r="F50" s="321">
        <f>SUM(F51:F51)</f>
        <v>1592846</v>
      </c>
      <c r="G50" s="321">
        <f>SUM(G51:G51)</f>
        <v>1589051.39</v>
      </c>
      <c r="H50" s="331">
        <f t="shared" si="0"/>
        <v>0.99761771696698853</v>
      </c>
      <c r="J50" s="314"/>
      <c r="K50" s="314"/>
      <c r="L50" s="314"/>
    </row>
    <row r="51" spans="1:12" s="313" customFormat="1" ht="13.5" thickBot="1">
      <c r="A51" s="5075"/>
      <c r="B51" s="5070"/>
      <c r="C51" s="334" t="s">
        <v>266</v>
      </c>
      <c r="D51" s="335"/>
      <c r="E51" s="336">
        <v>883000</v>
      </c>
      <c r="F51" s="336">
        <v>1592846</v>
      </c>
      <c r="G51" s="337">
        <v>1589051.39</v>
      </c>
      <c r="H51" s="338">
        <f t="shared" si="0"/>
        <v>0.99761771696698853</v>
      </c>
      <c r="J51" s="314"/>
      <c r="K51" s="314"/>
      <c r="L51" s="314"/>
    </row>
    <row r="52" spans="1:12" s="313" customFormat="1" ht="30" customHeight="1" thickBot="1">
      <c r="A52" s="5081" t="s">
        <v>290</v>
      </c>
      <c r="B52" s="5081"/>
      <c r="C52" s="5081"/>
      <c r="D52" s="5081"/>
      <c r="E52" s="339">
        <f>SUM(E49,E37,E24,E19,E11,E5,E34,E46,E16,E31)</f>
        <v>55105000</v>
      </c>
      <c r="F52" s="339">
        <f>SUM(F49,F37,F24,F19,F11,F5,F34,F46,F16,F31)</f>
        <v>61351122</v>
      </c>
      <c r="G52" s="339">
        <f>SUM(G49,G37,G24,G19,G11,G5,G34,G46,G16,G31)</f>
        <v>56497931.250000007</v>
      </c>
      <c r="H52" s="340">
        <f t="shared" si="0"/>
        <v>0.92089483302359176</v>
      </c>
    </row>
    <row r="53" spans="1:12" s="313" customFormat="1">
      <c r="A53" s="341"/>
      <c r="B53" s="341"/>
      <c r="C53" s="342"/>
      <c r="D53" s="342"/>
      <c r="E53" s="342"/>
      <c r="F53" s="343"/>
      <c r="G53" s="314"/>
      <c r="H53" s="314"/>
    </row>
    <row r="54" spans="1:12" s="313" customFormat="1">
      <c r="A54" s="341"/>
      <c r="B54" s="341"/>
      <c r="C54" s="342"/>
      <c r="D54" s="342"/>
      <c r="E54" s="342"/>
      <c r="F54" s="343"/>
      <c r="G54" s="314"/>
      <c r="H54" s="314"/>
    </row>
    <row r="55" spans="1:12" s="313" customFormat="1">
      <c r="A55" s="341"/>
      <c r="B55" s="341"/>
      <c r="C55" s="342"/>
      <c r="D55" s="342"/>
      <c r="E55" s="342"/>
      <c r="F55" s="343"/>
      <c r="G55" s="314"/>
      <c r="H55" s="314"/>
    </row>
    <row r="56" spans="1:12" s="313" customFormat="1" ht="12.75" customHeight="1">
      <c r="A56" s="341"/>
      <c r="B56" s="341"/>
      <c r="C56" s="342"/>
      <c r="D56" s="342"/>
      <c r="E56" s="342"/>
      <c r="F56" s="343"/>
      <c r="G56" s="344">
        <f>SUM(G10,G13,G15,G18,G21,G26,G28,G30,G36,G41,G43,G45,G48,G51)</f>
        <v>55577931.249999993</v>
      </c>
      <c r="H56" s="314" t="s">
        <v>11</v>
      </c>
      <c r="I56" s="344">
        <f>42592274.63-920000+13905656.62</f>
        <v>55577931.25</v>
      </c>
    </row>
    <row r="57" spans="1:12" s="313" customFormat="1">
      <c r="A57" s="341"/>
      <c r="B57" s="341"/>
      <c r="C57" s="342"/>
      <c r="D57" s="342"/>
      <c r="E57" s="342"/>
      <c r="F57" s="343"/>
      <c r="G57" s="344">
        <f>SUM(G39)</f>
        <v>920000</v>
      </c>
      <c r="H57" s="314" t="s">
        <v>12</v>
      </c>
      <c r="I57" s="344">
        <v>920000</v>
      </c>
    </row>
    <row r="58" spans="1:12" s="313" customFormat="1">
      <c r="A58" s="341"/>
      <c r="B58" s="341"/>
      <c r="C58" s="342"/>
      <c r="D58" s="342"/>
      <c r="E58" s="342"/>
      <c r="F58" s="343"/>
      <c r="H58" s="314"/>
    </row>
    <row r="59" spans="1:12" s="313" customFormat="1">
      <c r="A59" s="341"/>
      <c r="B59" s="341"/>
      <c r="C59" s="342"/>
      <c r="D59" s="342"/>
      <c r="E59" s="342"/>
      <c r="F59" s="343"/>
      <c r="G59" s="344">
        <f>SUM(G56:G58)</f>
        <v>56497931.249999993</v>
      </c>
      <c r="H59" s="314"/>
      <c r="I59" s="344">
        <f>I56+I57</f>
        <v>56497931.25</v>
      </c>
    </row>
    <row r="60" spans="1:12" s="313" customFormat="1">
      <c r="A60" s="341"/>
      <c r="B60" s="341"/>
      <c r="C60" s="342"/>
      <c r="D60" s="342"/>
      <c r="E60" s="342"/>
      <c r="F60" s="343"/>
      <c r="G60" s="314"/>
      <c r="H60" s="314"/>
    </row>
    <row r="61" spans="1:12" s="313" customFormat="1">
      <c r="A61" s="341"/>
      <c r="B61" s="341"/>
      <c r="C61" s="342"/>
      <c r="D61" s="342"/>
      <c r="E61" s="342"/>
      <c r="F61" s="343"/>
      <c r="G61" s="314"/>
      <c r="H61" s="314"/>
    </row>
    <row r="62" spans="1:12" s="313" customFormat="1">
      <c r="A62" s="341"/>
      <c r="B62" s="341"/>
      <c r="C62" s="342"/>
      <c r="D62" s="342"/>
      <c r="E62" s="342"/>
      <c r="F62" s="343"/>
      <c r="G62" s="314"/>
      <c r="H62" s="314"/>
    </row>
    <row r="63" spans="1:12" s="313" customFormat="1">
      <c r="A63" s="341"/>
      <c r="B63" s="341"/>
      <c r="C63" s="342"/>
      <c r="D63" s="342"/>
      <c r="E63" s="342"/>
      <c r="F63" s="343"/>
      <c r="G63" s="314"/>
      <c r="H63" s="314"/>
    </row>
    <row r="64" spans="1:12" s="313" customFormat="1">
      <c r="A64" s="342"/>
      <c r="B64" s="341"/>
      <c r="C64" s="342"/>
      <c r="D64" s="342"/>
      <c r="E64" s="342"/>
      <c r="F64" s="343"/>
      <c r="G64" s="314"/>
      <c r="H64" s="314"/>
    </row>
    <row r="65" spans="1:12" s="313" customFormat="1">
      <c r="A65" s="342"/>
      <c r="B65" s="341"/>
      <c r="C65" s="342"/>
      <c r="D65" s="342"/>
      <c r="E65" s="342"/>
      <c r="F65" s="343"/>
      <c r="G65" s="314"/>
      <c r="H65" s="314"/>
    </row>
    <row r="66" spans="1:12" s="313" customFormat="1">
      <c r="A66" s="342"/>
      <c r="B66" s="341"/>
      <c r="C66" s="342"/>
      <c r="D66" s="342"/>
      <c r="E66" s="342"/>
      <c r="F66" s="343"/>
      <c r="G66" s="314"/>
      <c r="H66" s="314"/>
    </row>
    <row r="67" spans="1:12" s="313" customFormat="1">
      <c r="A67" s="342"/>
      <c r="B67" s="341"/>
      <c r="C67" s="342"/>
      <c r="D67" s="342"/>
      <c r="E67" s="342"/>
      <c r="F67" s="343"/>
      <c r="G67" s="314"/>
      <c r="H67" s="314"/>
    </row>
    <row r="68" spans="1:12" s="313" customFormat="1">
      <c r="A68" s="342"/>
      <c r="B68" s="341"/>
      <c r="C68" s="342"/>
      <c r="D68" s="342"/>
      <c r="E68" s="342"/>
      <c r="F68" s="343"/>
      <c r="G68" s="314"/>
      <c r="H68" s="314"/>
    </row>
    <row r="69" spans="1:12" s="313" customFormat="1">
      <c r="A69" s="342"/>
      <c r="B69" s="341"/>
      <c r="C69" s="342"/>
      <c r="D69" s="342"/>
      <c r="E69" s="342"/>
      <c r="F69" s="343"/>
      <c r="G69" s="314"/>
      <c r="H69" s="314"/>
    </row>
    <row r="70" spans="1:12" s="313" customFormat="1">
      <c r="A70" s="342"/>
      <c r="B70" s="341"/>
      <c r="C70" s="342"/>
      <c r="D70" s="342"/>
      <c r="E70" s="342"/>
      <c r="F70" s="343"/>
      <c r="G70" s="314"/>
      <c r="H70" s="314"/>
    </row>
    <row r="71" spans="1:12" s="313" customFormat="1">
      <c r="A71" s="342"/>
      <c r="B71" s="341"/>
      <c r="C71" s="342"/>
      <c r="D71" s="342"/>
      <c r="E71" s="342"/>
      <c r="F71" s="343"/>
      <c r="G71" s="314"/>
      <c r="H71" s="314"/>
    </row>
    <row r="72" spans="1:12" s="313" customFormat="1">
      <c r="A72" s="342"/>
      <c r="B72" s="341"/>
      <c r="C72" s="342"/>
      <c r="D72" s="342"/>
      <c r="E72" s="342"/>
      <c r="F72" s="343"/>
      <c r="G72" s="314"/>
      <c r="H72" s="314"/>
    </row>
    <row r="73" spans="1:12" s="313" customFormat="1">
      <c r="A73" s="342"/>
      <c r="B73" s="341"/>
      <c r="C73" s="342"/>
      <c r="D73" s="342"/>
      <c r="E73" s="342"/>
      <c r="F73" s="343"/>
      <c r="G73" s="314"/>
      <c r="H73" s="314"/>
    </row>
    <row r="74" spans="1:12" s="313" customFormat="1">
      <c r="A74" s="342"/>
      <c r="B74" s="341"/>
      <c r="C74" s="342"/>
      <c r="D74" s="342"/>
      <c r="E74" s="342"/>
      <c r="F74" s="343"/>
      <c r="G74" s="314"/>
      <c r="H74" s="314"/>
    </row>
    <row r="75" spans="1:12" s="313" customFormat="1">
      <c r="A75" s="342"/>
      <c r="B75" s="341"/>
      <c r="C75" s="342"/>
      <c r="D75" s="342"/>
      <c r="E75" s="342"/>
      <c r="F75" s="343"/>
      <c r="G75" s="314"/>
      <c r="H75" s="314"/>
    </row>
    <row r="76" spans="1:12" s="313" customFormat="1">
      <c r="A76" s="342"/>
      <c r="B76" s="341"/>
      <c r="C76" s="342"/>
      <c r="D76" s="342"/>
      <c r="E76" s="342"/>
      <c r="F76" s="343"/>
      <c r="G76" s="314"/>
      <c r="H76" s="314"/>
    </row>
    <row r="77" spans="1:12" s="313" customFormat="1">
      <c r="A77" s="342"/>
      <c r="B77" s="341"/>
      <c r="C77" s="342"/>
      <c r="D77" s="342"/>
      <c r="E77" s="342"/>
      <c r="F77" s="343"/>
      <c r="G77" s="314"/>
      <c r="H77" s="314"/>
    </row>
    <row r="78" spans="1:12" s="313" customFormat="1">
      <c r="A78" s="314"/>
      <c r="B78" s="341"/>
      <c r="C78" s="342"/>
      <c r="D78" s="342"/>
      <c r="E78" s="342"/>
      <c r="F78" s="343"/>
      <c r="G78" s="314"/>
      <c r="H78" s="314"/>
    </row>
    <row r="79" spans="1:12" s="313" customFormat="1">
      <c r="A79" s="314"/>
      <c r="B79" s="341"/>
      <c r="C79" s="342"/>
      <c r="D79" s="342"/>
      <c r="E79" s="342"/>
      <c r="F79" s="343"/>
      <c r="G79" s="314"/>
      <c r="H79" s="314"/>
    </row>
    <row r="80" spans="1:12" s="313" customFormat="1">
      <c r="A80" s="314"/>
      <c r="B80" s="345"/>
      <c r="C80" s="314"/>
      <c r="D80" s="314"/>
      <c r="E80" s="314"/>
      <c r="F80" s="346"/>
      <c r="G80" s="314"/>
      <c r="H80" s="314"/>
      <c r="J80" s="314"/>
      <c r="K80" s="314"/>
      <c r="L80" s="314"/>
    </row>
    <row r="81" spans="1:12" s="313" customFormat="1">
      <c r="A81" s="314"/>
      <c r="B81" s="345"/>
      <c r="C81" s="314"/>
      <c r="D81" s="314"/>
      <c r="E81" s="314"/>
      <c r="F81" s="346"/>
      <c r="G81" s="314"/>
      <c r="H81" s="314"/>
      <c r="J81" s="314"/>
      <c r="K81" s="314"/>
      <c r="L81" s="314"/>
    </row>
    <row r="82" spans="1:12" s="313" customFormat="1">
      <c r="A82" s="314"/>
      <c r="B82" s="345"/>
      <c r="C82" s="314"/>
      <c r="D82" s="314"/>
      <c r="E82" s="314"/>
      <c r="F82" s="346"/>
      <c r="G82" s="314"/>
      <c r="H82" s="314"/>
      <c r="J82" s="314"/>
      <c r="K82" s="314"/>
      <c r="L82" s="314"/>
    </row>
    <row r="83" spans="1:12" s="313" customFormat="1">
      <c r="A83" s="314"/>
      <c r="B83" s="345"/>
      <c r="C83" s="314"/>
      <c r="D83" s="314"/>
      <c r="E83" s="314"/>
      <c r="F83" s="346"/>
      <c r="G83" s="314"/>
      <c r="H83" s="314"/>
      <c r="J83" s="314"/>
      <c r="K83" s="314"/>
      <c r="L83" s="314"/>
    </row>
    <row r="84" spans="1:12" s="313" customFormat="1">
      <c r="A84" s="314"/>
      <c r="B84" s="345"/>
      <c r="C84" s="314"/>
      <c r="D84" s="314"/>
      <c r="E84" s="314"/>
      <c r="F84" s="346"/>
      <c r="G84" s="314"/>
      <c r="H84" s="314"/>
      <c r="J84" s="314"/>
      <c r="K84" s="314"/>
      <c r="L84" s="314"/>
    </row>
    <row r="85" spans="1:12" s="313" customFormat="1">
      <c r="A85" s="314"/>
      <c r="B85" s="345"/>
      <c r="C85" s="314"/>
      <c r="D85" s="314"/>
      <c r="E85" s="314"/>
      <c r="F85" s="346"/>
      <c r="G85" s="314"/>
      <c r="H85" s="314"/>
      <c r="J85" s="314"/>
      <c r="K85" s="314"/>
      <c r="L85" s="314"/>
    </row>
    <row r="86" spans="1:12" s="313" customFormat="1">
      <c r="A86" s="314"/>
      <c r="B86" s="345"/>
      <c r="C86" s="314"/>
      <c r="D86" s="314"/>
      <c r="E86" s="314"/>
      <c r="F86" s="346"/>
      <c r="G86" s="314"/>
      <c r="H86" s="314"/>
      <c r="J86" s="314"/>
      <c r="K86" s="314"/>
      <c r="L86" s="314"/>
    </row>
    <row r="87" spans="1:12" s="313" customFormat="1">
      <c r="A87" s="314"/>
      <c r="B87" s="345"/>
      <c r="C87" s="314"/>
      <c r="D87" s="314"/>
      <c r="E87" s="314"/>
      <c r="F87" s="346"/>
      <c r="G87" s="314"/>
      <c r="H87" s="314"/>
      <c r="J87" s="314"/>
      <c r="K87" s="314"/>
      <c r="L87" s="314"/>
    </row>
    <row r="88" spans="1:12" s="313" customFormat="1">
      <c r="A88" s="314"/>
      <c r="B88" s="345"/>
      <c r="C88" s="314"/>
      <c r="D88" s="314"/>
      <c r="E88" s="314"/>
      <c r="F88" s="346"/>
      <c r="G88" s="314"/>
      <c r="H88" s="314"/>
      <c r="J88" s="314"/>
      <c r="K88" s="314"/>
      <c r="L88" s="314"/>
    </row>
    <row r="89" spans="1:12" s="313" customFormat="1">
      <c r="A89" s="314"/>
      <c r="B89" s="345"/>
      <c r="C89" s="314"/>
      <c r="D89" s="314"/>
      <c r="E89" s="314"/>
      <c r="F89" s="346"/>
      <c r="G89" s="314"/>
      <c r="H89" s="314"/>
      <c r="J89" s="314"/>
      <c r="K89" s="314"/>
      <c r="L89" s="314"/>
    </row>
    <row r="90" spans="1:12" s="313" customFormat="1">
      <c r="A90" s="314"/>
      <c r="B90" s="345"/>
      <c r="C90" s="314"/>
      <c r="D90" s="314"/>
      <c r="E90" s="314"/>
      <c r="F90" s="346"/>
      <c r="G90" s="314"/>
      <c r="H90" s="314"/>
      <c r="J90" s="314"/>
      <c r="K90" s="314"/>
      <c r="L90" s="314"/>
    </row>
    <row r="91" spans="1:12">
      <c r="B91" s="345"/>
      <c r="F91" s="346"/>
    </row>
    <row r="92" spans="1:12">
      <c r="B92" s="345"/>
      <c r="F92" s="346"/>
    </row>
    <row r="93" spans="1:12">
      <c r="B93" s="345"/>
      <c r="F93" s="346"/>
    </row>
    <row r="94" spans="1:12">
      <c r="B94" s="345"/>
      <c r="F94" s="346"/>
    </row>
    <row r="95" spans="1:12">
      <c r="B95" s="345"/>
      <c r="F95" s="346"/>
    </row>
    <row r="96" spans="1:12">
      <c r="F96" s="346"/>
    </row>
    <row r="97" spans="6:6">
      <c r="F97" s="346"/>
    </row>
    <row r="168" spans="4:5">
      <c r="D168" s="347">
        <f>115000000+12000000</f>
        <v>127000000</v>
      </c>
      <c r="E168" s="347"/>
    </row>
    <row r="276" spans="4:5">
      <c r="D276" s="347"/>
      <c r="E276" s="347"/>
    </row>
  </sheetData>
  <mergeCells count="59">
    <mergeCell ref="A52:D52"/>
    <mergeCell ref="A46:A48"/>
    <mergeCell ref="B46:D46"/>
    <mergeCell ref="B47:B48"/>
    <mergeCell ref="C47:D47"/>
    <mergeCell ref="A49:A51"/>
    <mergeCell ref="B49:D49"/>
    <mergeCell ref="B50:B51"/>
    <mergeCell ref="C50:D50"/>
    <mergeCell ref="A37:A45"/>
    <mergeCell ref="B37:D37"/>
    <mergeCell ref="B38:B39"/>
    <mergeCell ref="C38:D38"/>
    <mergeCell ref="B40:B41"/>
    <mergeCell ref="C40:D40"/>
    <mergeCell ref="B42:B43"/>
    <mergeCell ref="C42:D42"/>
    <mergeCell ref="B44:B45"/>
    <mergeCell ref="C44:D44"/>
    <mergeCell ref="A31:A33"/>
    <mergeCell ref="B31:D31"/>
    <mergeCell ref="B32:B33"/>
    <mergeCell ref="C32:D32"/>
    <mergeCell ref="A34:A36"/>
    <mergeCell ref="B34:D34"/>
    <mergeCell ref="B35:B36"/>
    <mergeCell ref="C35:D35"/>
    <mergeCell ref="A24:A30"/>
    <mergeCell ref="B24:D24"/>
    <mergeCell ref="B25:B26"/>
    <mergeCell ref="C25:D25"/>
    <mergeCell ref="B27:B28"/>
    <mergeCell ref="C27:D27"/>
    <mergeCell ref="B29:B30"/>
    <mergeCell ref="C29:D29"/>
    <mergeCell ref="A16:A18"/>
    <mergeCell ref="B16:D16"/>
    <mergeCell ref="B17:B18"/>
    <mergeCell ref="C17:D17"/>
    <mergeCell ref="A19:A23"/>
    <mergeCell ref="B19:D19"/>
    <mergeCell ref="B20:B21"/>
    <mergeCell ref="C20:D20"/>
    <mergeCell ref="B22:B23"/>
    <mergeCell ref="C22:D22"/>
    <mergeCell ref="A11:A15"/>
    <mergeCell ref="B11:D11"/>
    <mergeCell ref="B12:B13"/>
    <mergeCell ref="C12:D12"/>
    <mergeCell ref="B14:B15"/>
    <mergeCell ref="C14:D14"/>
    <mergeCell ref="A1:H1"/>
    <mergeCell ref="A2:F2"/>
    <mergeCell ref="A5:A10"/>
    <mergeCell ref="B5:D5"/>
    <mergeCell ref="B6:B8"/>
    <mergeCell ref="C6:D6"/>
    <mergeCell ref="B9:B10"/>
    <mergeCell ref="C9:D9"/>
  </mergeCells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>
    <oddFooter>Strona &amp;P z &amp;N</oddFooter>
  </headerFooter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429FF-2733-44CC-8A23-5ECB1FDCE282}">
  <dimension ref="A1:P372"/>
  <sheetViews>
    <sheetView view="pageBreakPreview" zoomScale="130" zoomScaleNormal="75" zoomScaleSheetLayoutView="130" workbookViewId="0">
      <pane xSplit="4" ySplit="5" topLeftCell="K6" activePane="bottomRight" state="frozen"/>
      <selection activeCell="K153" sqref="K153"/>
      <selection pane="topRight" activeCell="K153" sqref="K153"/>
      <selection pane="bottomLeft" activeCell="K153" sqref="K153"/>
      <selection pane="bottomRight" activeCell="K153" sqref="K153"/>
    </sheetView>
  </sheetViews>
  <sheetFormatPr defaultColWidth="9.140625" defaultRowHeight="15.75"/>
  <cols>
    <col min="1" max="1" width="7" style="414" customWidth="1"/>
    <col min="2" max="2" width="8.85546875" style="412" bestFit="1" customWidth="1"/>
    <col min="3" max="3" width="30.140625" style="342" customWidth="1"/>
    <col min="4" max="4" width="8.7109375" style="342" customWidth="1"/>
    <col min="5" max="5" width="12.42578125" style="342" customWidth="1"/>
    <col min="6" max="6" width="12.28515625" style="342" customWidth="1"/>
    <col min="7" max="7" width="12.7109375" style="342" bestFit="1" customWidth="1"/>
    <col min="8" max="8" width="12.5703125" style="342" customWidth="1"/>
    <col min="9" max="9" width="12.85546875" style="342" customWidth="1"/>
    <col min="10" max="10" width="11.28515625" style="342" customWidth="1"/>
    <col min="11" max="11" width="12.85546875" style="342" customWidth="1"/>
    <col min="12" max="12" width="12.42578125" style="342" customWidth="1"/>
    <col min="13" max="13" width="11.7109375" style="342" customWidth="1"/>
    <col min="14" max="14" width="11.140625" style="342" customWidth="1"/>
    <col min="15" max="15" width="10.140625" style="342" customWidth="1"/>
    <col min="16" max="16" width="12.5703125" style="342" customWidth="1"/>
    <col min="17" max="16384" width="9.140625" style="342"/>
  </cols>
  <sheetData>
    <row r="1" spans="1:16" ht="13.5" customHeight="1">
      <c r="A1" s="5082" t="s">
        <v>291</v>
      </c>
      <c r="B1" s="5082"/>
      <c r="C1" s="5082"/>
      <c r="D1" s="5082"/>
      <c r="E1" s="5082"/>
      <c r="F1" s="5082"/>
      <c r="G1" s="5082"/>
      <c r="H1" s="5082"/>
      <c r="I1" s="5082"/>
      <c r="J1" s="5082"/>
      <c r="K1" s="5082"/>
      <c r="L1" s="5082"/>
      <c r="M1" s="5082"/>
      <c r="N1" s="5082"/>
      <c r="O1" s="5082"/>
    </row>
    <row r="2" spans="1:16" ht="13.5" customHeight="1" thickBo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5083" t="s">
        <v>292</v>
      </c>
      <c r="O2" s="5083"/>
    </row>
    <row r="3" spans="1:16" ht="14.25" customHeight="1">
      <c r="A3" s="5084" t="s">
        <v>1</v>
      </c>
      <c r="B3" s="5087" t="s">
        <v>2</v>
      </c>
      <c r="C3" s="5087" t="s">
        <v>3</v>
      </c>
      <c r="D3" s="5090" t="s">
        <v>4</v>
      </c>
      <c r="E3" s="5093" t="s">
        <v>293</v>
      </c>
      <c r="F3" s="5093" t="s">
        <v>250</v>
      </c>
      <c r="G3" s="5096" t="s">
        <v>251</v>
      </c>
      <c r="H3" s="5096" t="s">
        <v>294</v>
      </c>
      <c r="I3" s="5099" t="s">
        <v>295</v>
      </c>
      <c r="J3" s="5100"/>
      <c r="K3" s="5100"/>
      <c r="L3" s="5100"/>
      <c r="M3" s="5101"/>
      <c r="N3" s="5099" t="s">
        <v>296</v>
      </c>
      <c r="O3" s="5104" t="s">
        <v>297</v>
      </c>
    </row>
    <row r="4" spans="1:16" ht="12.75" customHeight="1">
      <c r="A4" s="5085"/>
      <c r="B4" s="5088"/>
      <c r="C4" s="5088"/>
      <c r="D4" s="5091"/>
      <c r="E4" s="5094"/>
      <c r="F4" s="5094"/>
      <c r="G4" s="5097"/>
      <c r="H4" s="5097"/>
      <c r="I4" s="5097" t="s">
        <v>298</v>
      </c>
      <c r="J4" s="5088" t="s">
        <v>299</v>
      </c>
      <c r="K4" s="5088"/>
      <c r="L4" s="5097" t="s">
        <v>300</v>
      </c>
      <c r="M4" s="5107" t="s">
        <v>301</v>
      </c>
      <c r="N4" s="5102"/>
      <c r="O4" s="5105"/>
    </row>
    <row r="5" spans="1:16" ht="77.25" thickBot="1">
      <c r="A5" s="5086"/>
      <c r="B5" s="5089"/>
      <c r="C5" s="5089"/>
      <c r="D5" s="5092"/>
      <c r="E5" s="5095"/>
      <c r="F5" s="5095"/>
      <c r="G5" s="5098"/>
      <c r="H5" s="5098"/>
      <c r="I5" s="5098"/>
      <c r="J5" s="349" t="s">
        <v>302</v>
      </c>
      <c r="K5" s="349" t="s">
        <v>303</v>
      </c>
      <c r="L5" s="5098"/>
      <c r="M5" s="5095"/>
      <c r="N5" s="5103"/>
      <c r="O5" s="5106"/>
    </row>
    <row r="6" spans="1:16" ht="9.75" customHeight="1">
      <c r="A6" s="350" t="s">
        <v>253</v>
      </c>
      <c r="B6" s="351" t="s">
        <v>254</v>
      </c>
      <c r="C6" s="351" t="s">
        <v>255</v>
      </c>
      <c r="D6" s="351" t="s">
        <v>256</v>
      </c>
      <c r="E6" s="351" t="s">
        <v>257</v>
      </c>
      <c r="F6" s="351" t="s">
        <v>258</v>
      </c>
      <c r="G6" s="351" t="s">
        <v>259</v>
      </c>
      <c r="H6" s="351" t="s">
        <v>260</v>
      </c>
      <c r="I6" s="351" t="s">
        <v>304</v>
      </c>
      <c r="J6" s="351" t="s">
        <v>305</v>
      </c>
      <c r="K6" s="351" t="s">
        <v>306</v>
      </c>
      <c r="L6" s="351" t="s">
        <v>307</v>
      </c>
      <c r="M6" s="351" t="s">
        <v>308</v>
      </c>
      <c r="N6" s="352" t="s">
        <v>309</v>
      </c>
      <c r="O6" s="352" t="s">
        <v>310</v>
      </c>
    </row>
    <row r="7" spans="1:16" ht="24.75" customHeight="1">
      <c r="A7" s="5075" t="s">
        <v>13</v>
      </c>
      <c r="B7" s="5108" t="s">
        <v>261</v>
      </c>
      <c r="C7" s="5108"/>
      <c r="D7" s="353"/>
      <c r="E7" s="354">
        <f>SUM(E8,E24)</f>
        <v>308000</v>
      </c>
      <c r="F7" s="354">
        <f>SUM(F8,F24)</f>
        <v>4614204</v>
      </c>
      <c r="G7" s="354">
        <f>SUM(G8,,G24)</f>
        <v>4612298.4800000004</v>
      </c>
      <c r="H7" s="354">
        <f>SUM(H8,H24)</f>
        <v>4612298.4800000004</v>
      </c>
      <c r="I7" s="354">
        <f>SUM(J7:K7)</f>
        <v>4612298.4800000004</v>
      </c>
      <c r="J7" s="354">
        <f>SUM(J8,J24)</f>
        <v>308000</v>
      </c>
      <c r="K7" s="354">
        <f>SUM(K8,K24)</f>
        <v>4304298.4800000004</v>
      </c>
      <c r="L7" s="354">
        <v>0</v>
      </c>
      <c r="M7" s="354">
        <f>SUM(M8,M24)</f>
        <v>0</v>
      </c>
      <c r="N7" s="354">
        <f>SUM(N8,N24)</f>
        <v>0</v>
      </c>
      <c r="O7" s="355">
        <f t="shared" ref="O7:O53" si="0">G7/F7</f>
        <v>0.99958703169604124</v>
      </c>
      <c r="P7" s="356"/>
    </row>
    <row r="8" spans="1:16" ht="29.25" hidden="1" customHeight="1">
      <c r="A8" s="5075"/>
      <c r="B8" s="5109" t="s">
        <v>311</v>
      </c>
      <c r="C8" s="5111" t="s">
        <v>312</v>
      </c>
      <c r="D8" s="357" t="s">
        <v>313</v>
      </c>
      <c r="E8" s="358">
        <f>SUM(E9:E23)</f>
        <v>0</v>
      </c>
      <c r="F8" s="358">
        <f>SUM(F9:F23)</f>
        <v>0</v>
      </c>
      <c r="G8" s="359">
        <f>SUM(H8,N8)</f>
        <v>0</v>
      </c>
      <c r="H8" s="359">
        <f t="shared" ref="H8" si="1">SUM(I8,L8,M8)</f>
        <v>0</v>
      </c>
      <c r="I8" s="359">
        <f>SUM(J8:K8)</f>
        <v>0</v>
      </c>
      <c r="J8" s="359">
        <f>SUM(J9:J22)</f>
        <v>0</v>
      </c>
      <c r="K8" s="359">
        <f>SUM(K9:K23)</f>
        <v>0</v>
      </c>
      <c r="L8" s="359">
        <v>0</v>
      </c>
      <c r="M8" s="359">
        <f>SUM(M9:M23)</f>
        <v>0</v>
      </c>
      <c r="N8" s="360">
        <f>SUM(N9:N23)</f>
        <v>0</v>
      </c>
      <c r="O8" s="361"/>
      <c r="P8" s="356"/>
    </row>
    <row r="9" spans="1:16" ht="12.75" hidden="1">
      <c r="A9" s="5075"/>
      <c r="B9" s="5110"/>
      <c r="C9" s="5112"/>
      <c r="D9" s="362" t="s">
        <v>314</v>
      </c>
      <c r="E9" s="363"/>
      <c r="F9" s="363"/>
      <c r="G9" s="325"/>
      <c r="H9" s="325"/>
      <c r="I9" s="325"/>
      <c r="J9" s="325"/>
      <c r="K9" s="325"/>
      <c r="L9" s="325"/>
      <c r="M9" s="325"/>
      <c r="N9" s="364"/>
      <c r="O9" s="365"/>
    </row>
    <row r="10" spans="1:16" ht="12.75" hidden="1">
      <c r="A10" s="5075"/>
      <c r="B10" s="5110"/>
      <c r="C10" s="5112"/>
      <c r="D10" s="362" t="s">
        <v>61</v>
      </c>
      <c r="E10" s="363"/>
      <c r="F10" s="363"/>
      <c r="G10" s="325"/>
      <c r="H10" s="325"/>
      <c r="I10" s="325"/>
      <c r="J10" s="325"/>
      <c r="K10" s="325"/>
      <c r="L10" s="325"/>
      <c r="M10" s="325"/>
      <c r="N10" s="364"/>
      <c r="O10" s="365"/>
    </row>
    <row r="11" spans="1:16" ht="12.75" hidden="1">
      <c r="A11" s="5075"/>
      <c r="B11" s="5110"/>
      <c r="C11" s="5112"/>
      <c r="D11" s="362" t="s">
        <v>315</v>
      </c>
      <c r="E11" s="363"/>
      <c r="F11" s="363"/>
      <c r="G11" s="325"/>
      <c r="H11" s="325"/>
      <c r="I11" s="325"/>
      <c r="J11" s="325"/>
      <c r="K11" s="325"/>
      <c r="L11" s="325"/>
      <c r="M11" s="325"/>
      <c r="N11" s="364"/>
      <c r="O11" s="365"/>
    </row>
    <row r="12" spans="1:16" ht="12.75" hidden="1">
      <c r="A12" s="5075"/>
      <c r="B12" s="5110"/>
      <c r="C12" s="5112"/>
      <c r="D12" s="362" t="s">
        <v>62</v>
      </c>
      <c r="E12" s="363"/>
      <c r="F12" s="363"/>
      <c r="G12" s="325"/>
      <c r="H12" s="325"/>
      <c r="I12" s="325"/>
      <c r="J12" s="325"/>
      <c r="K12" s="325"/>
      <c r="L12" s="325"/>
      <c r="M12" s="325"/>
      <c r="N12" s="364"/>
      <c r="O12" s="365"/>
    </row>
    <row r="13" spans="1:16" ht="12.75" hidden="1">
      <c r="A13" s="5075"/>
      <c r="B13" s="5110"/>
      <c r="C13" s="5112"/>
      <c r="D13" s="362" t="s">
        <v>63</v>
      </c>
      <c r="E13" s="363"/>
      <c r="F13" s="363"/>
      <c r="G13" s="325"/>
      <c r="H13" s="325"/>
      <c r="I13" s="325"/>
      <c r="J13" s="325"/>
      <c r="K13" s="325"/>
      <c r="L13" s="325"/>
      <c r="M13" s="325"/>
      <c r="N13" s="364"/>
      <c r="O13" s="365"/>
    </row>
    <row r="14" spans="1:16" ht="12.75" hidden="1">
      <c r="A14" s="5075"/>
      <c r="B14" s="5110"/>
      <c r="C14" s="5112"/>
      <c r="D14" s="362" t="s">
        <v>22</v>
      </c>
      <c r="E14" s="363"/>
      <c r="F14" s="363"/>
      <c r="G14" s="325"/>
      <c r="H14" s="325"/>
      <c r="I14" s="325"/>
      <c r="J14" s="325"/>
      <c r="K14" s="325"/>
      <c r="L14" s="325"/>
      <c r="M14" s="325"/>
      <c r="N14" s="364"/>
      <c r="O14" s="365"/>
    </row>
    <row r="15" spans="1:16" ht="12.75" hidden="1">
      <c r="A15" s="5075"/>
      <c r="B15" s="5110"/>
      <c r="C15" s="5112"/>
      <c r="D15" s="362" t="s">
        <v>316</v>
      </c>
      <c r="E15" s="363"/>
      <c r="F15" s="363"/>
      <c r="G15" s="325"/>
      <c r="H15" s="325"/>
      <c r="I15" s="325"/>
      <c r="J15" s="325"/>
      <c r="K15" s="325"/>
      <c r="L15" s="325"/>
      <c r="M15" s="325"/>
      <c r="N15" s="364"/>
      <c r="O15" s="365"/>
    </row>
    <row r="16" spans="1:16" ht="12.75" hidden="1">
      <c r="A16" s="5075"/>
      <c r="B16" s="5110"/>
      <c r="C16" s="5112"/>
      <c r="D16" s="362" t="s">
        <v>87</v>
      </c>
      <c r="E16" s="363"/>
      <c r="F16" s="363"/>
      <c r="G16" s="325"/>
      <c r="H16" s="325"/>
      <c r="I16" s="325"/>
      <c r="J16" s="325"/>
      <c r="K16" s="325"/>
      <c r="L16" s="325"/>
      <c r="M16" s="325"/>
      <c r="N16" s="364"/>
      <c r="O16" s="365"/>
    </row>
    <row r="17" spans="1:16" ht="12.75" hidden="1">
      <c r="A17" s="5075"/>
      <c r="B17" s="5110"/>
      <c r="C17" s="5112"/>
      <c r="D17" s="362" t="s">
        <v>317</v>
      </c>
      <c r="E17" s="363"/>
      <c r="F17" s="363"/>
      <c r="G17" s="325"/>
      <c r="H17" s="325"/>
      <c r="I17" s="325"/>
      <c r="J17" s="325"/>
      <c r="K17" s="325"/>
      <c r="L17" s="325"/>
      <c r="M17" s="325"/>
      <c r="N17" s="364"/>
      <c r="O17" s="365"/>
    </row>
    <row r="18" spans="1:16" ht="12.75" hidden="1">
      <c r="A18" s="5075"/>
      <c r="B18" s="5110"/>
      <c r="C18" s="5112"/>
      <c r="D18" s="362" t="s">
        <v>23</v>
      </c>
      <c r="E18" s="363"/>
      <c r="F18" s="363"/>
      <c r="G18" s="325"/>
      <c r="H18" s="325"/>
      <c r="I18" s="325"/>
      <c r="J18" s="325"/>
      <c r="K18" s="325"/>
      <c r="L18" s="325"/>
      <c r="M18" s="325"/>
      <c r="N18" s="364"/>
      <c r="O18" s="365"/>
    </row>
    <row r="19" spans="1:16" ht="12.75" hidden="1">
      <c r="A19" s="5075"/>
      <c r="B19" s="5110"/>
      <c r="C19" s="5112"/>
      <c r="D19" s="362" t="s">
        <v>318</v>
      </c>
      <c r="E19" s="363"/>
      <c r="F19" s="363"/>
      <c r="G19" s="325"/>
      <c r="H19" s="325"/>
      <c r="I19" s="325"/>
      <c r="J19" s="325"/>
      <c r="K19" s="325"/>
      <c r="L19" s="325"/>
      <c r="M19" s="325"/>
      <c r="N19" s="364"/>
      <c r="O19" s="365"/>
    </row>
    <row r="20" spans="1:16" ht="12.75" hidden="1">
      <c r="A20" s="5075"/>
      <c r="B20" s="5110"/>
      <c r="C20" s="5112"/>
      <c r="D20" s="362" t="s">
        <v>319</v>
      </c>
      <c r="E20" s="363"/>
      <c r="F20" s="363"/>
      <c r="G20" s="325"/>
      <c r="H20" s="325"/>
      <c r="I20" s="325"/>
      <c r="J20" s="325"/>
      <c r="K20" s="325"/>
      <c r="L20" s="325"/>
      <c r="M20" s="325"/>
      <c r="N20" s="364"/>
      <c r="O20" s="365"/>
    </row>
    <row r="21" spans="1:16" ht="12.75" hidden="1">
      <c r="A21" s="5075"/>
      <c r="B21" s="5110"/>
      <c r="C21" s="5112"/>
      <c r="D21" s="366" t="s">
        <v>320</v>
      </c>
      <c r="E21" s="367"/>
      <c r="F21" s="367"/>
      <c r="G21" s="325"/>
      <c r="H21" s="325"/>
      <c r="I21" s="325"/>
      <c r="J21" s="368"/>
      <c r="K21" s="368"/>
      <c r="L21" s="368"/>
      <c r="M21" s="368"/>
      <c r="N21" s="369"/>
      <c r="O21" s="365"/>
    </row>
    <row r="22" spans="1:16" ht="12.75" hidden="1">
      <c r="A22" s="5075"/>
      <c r="B22" s="5110"/>
      <c r="C22" s="5112"/>
      <c r="D22" s="366" t="s">
        <v>321</v>
      </c>
      <c r="E22" s="367"/>
      <c r="F22" s="367"/>
      <c r="G22" s="325"/>
      <c r="H22" s="325"/>
      <c r="I22" s="325"/>
      <c r="J22" s="368"/>
      <c r="K22" s="368"/>
      <c r="L22" s="368"/>
      <c r="M22" s="368"/>
      <c r="N22" s="369"/>
      <c r="O22" s="365"/>
    </row>
    <row r="23" spans="1:16" ht="12.75" hidden="1">
      <c r="A23" s="5075"/>
      <c r="B23" s="5110"/>
      <c r="C23" s="5112"/>
      <c r="D23" s="366" t="s">
        <v>89</v>
      </c>
      <c r="E23" s="363"/>
      <c r="F23" s="367"/>
      <c r="G23" s="325"/>
      <c r="H23" s="325"/>
      <c r="I23" s="325"/>
      <c r="J23" s="368"/>
      <c r="K23" s="368"/>
      <c r="L23" s="368"/>
      <c r="M23" s="368"/>
      <c r="N23" s="369"/>
      <c r="O23" s="365"/>
    </row>
    <row r="24" spans="1:16" ht="26.25" customHeight="1">
      <c r="A24" s="5075"/>
      <c r="B24" s="5109" t="s">
        <v>265</v>
      </c>
      <c r="C24" s="5111" t="s">
        <v>95</v>
      </c>
      <c r="D24" s="357" t="s">
        <v>313</v>
      </c>
      <c r="E24" s="370">
        <f>SUM(E25:E28)</f>
        <v>308000</v>
      </c>
      <c r="F24" s="370">
        <f>SUM(F25:F28)</f>
        <v>4614204</v>
      </c>
      <c r="G24" s="371">
        <f>SUM(H24,N24)</f>
        <v>4612298.4800000004</v>
      </c>
      <c r="H24" s="371">
        <f>SUM(I24,L24,M24)</f>
        <v>4612298.4800000004</v>
      </c>
      <c r="I24" s="371">
        <f>SUM(J24:K24)</f>
        <v>4612298.4800000004</v>
      </c>
      <c r="J24" s="371">
        <f>SUM(J25:J28)</f>
        <v>308000</v>
      </c>
      <c r="K24" s="371">
        <f>SUM(K25:K28)</f>
        <v>4304298.4800000004</v>
      </c>
      <c r="L24" s="371">
        <v>0</v>
      </c>
      <c r="M24" s="371">
        <v>0</v>
      </c>
      <c r="N24" s="372">
        <v>0</v>
      </c>
      <c r="O24" s="361">
        <f t="shared" si="0"/>
        <v>0.99958703169604124</v>
      </c>
    </row>
    <row r="25" spans="1:16" ht="12.75">
      <c r="A25" s="5075"/>
      <c r="B25" s="5110"/>
      <c r="C25" s="5112"/>
      <c r="D25" s="373" t="s">
        <v>61</v>
      </c>
      <c r="E25" s="367">
        <v>258753</v>
      </c>
      <c r="F25" s="367">
        <v>258753</v>
      </c>
      <c r="G25" s="368">
        <f>H25+N25</f>
        <v>258753</v>
      </c>
      <c r="H25" s="368">
        <f>I25+L25+M25</f>
        <v>258753</v>
      </c>
      <c r="I25" s="368">
        <f>J25+K25</f>
        <v>258753</v>
      </c>
      <c r="J25" s="368">
        <v>258753</v>
      </c>
      <c r="K25" s="368"/>
      <c r="L25" s="374"/>
      <c r="M25" s="374"/>
      <c r="N25" s="375"/>
      <c r="O25" s="365">
        <f>G25/F25</f>
        <v>1</v>
      </c>
    </row>
    <row r="26" spans="1:16" ht="12.75">
      <c r="A26" s="5075"/>
      <c r="B26" s="5110"/>
      <c r="C26" s="5112"/>
      <c r="D26" s="373" t="s">
        <v>62</v>
      </c>
      <c r="E26" s="367">
        <v>43104</v>
      </c>
      <c r="F26" s="367">
        <v>43104</v>
      </c>
      <c r="G26" s="368">
        <f t="shared" ref="G26:G28" si="2">H26+N26</f>
        <v>43104</v>
      </c>
      <c r="H26" s="368">
        <f t="shared" ref="H26:H28" si="3">I26+L26+M26</f>
        <v>43104</v>
      </c>
      <c r="I26" s="368">
        <f t="shared" ref="I26:I28" si="4">J26+K26</f>
        <v>43104</v>
      </c>
      <c r="J26" s="368">
        <v>43104</v>
      </c>
      <c r="K26" s="368"/>
      <c r="L26" s="374"/>
      <c r="M26" s="374"/>
      <c r="N26" s="375"/>
      <c r="O26" s="365">
        <f t="shared" si="0"/>
        <v>1</v>
      </c>
    </row>
    <row r="27" spans="1:16" ht="12.75">
      <c r="A27" s="5075"/>
      <c r="B27" s="5110"/>
      <c r="C27" s="5112"/>
      <c r="D27" s="373" t="s">
        <v>63</v>
      </c>
      <c r="E27" s="367">
        <v>6143</v>
      </c>
      <c r="F27" s="367">
        <v>6143</v>
      </c>
      <c r="G27" s="368">
        <f t="shared" si="2"/>
        <v>6143</v>
      </c>
      <c r="H27" s="368">
        <f t="shared" si="3"/>
        <v>6143</v>
      </c>
      <c r="I27" s="368">
        <f t="shared" si="4"/>
        <v>6143</v>
      </c>
      <c r="J27" s="368">
        <v>6143</v>
      </c>
      <c r="K27" s="368"/>
      <c r="L27" s="374"/>
      <c r="M27" s="374"/>
      <c r="N27" s="375"/>
      <c r="O27" s="365">
        <f t="shared" si="0"/>
        <v>1</v>
      </c>
    </row>
    <row r="28" spans="1:16" ht="12.75">
      <c r="A28" s="5066"/>
      <c r="B28" s="5113"/>
      <c r="C28" s="5114"/>
      <c r="D28" s="366" t="s">
        <v>322</v>
      </c>
      <c r="E28" s="367"/>
      <c r="F28" s="367">
        <v>4306204</v>
      </c>
      <c r="G28" s="368">
        <f t="shared" si="2"/>
        <v>4304298.4800000004</v>
      </c>
      <c r="H28" s="368">
        <f t="shared" si="3"/>
        <v>4304298.4800000004</v>
      </c>
      <c r="I28" s="368">
        <f t="shared" si="4"/>
        <v>4304298.4800000004</v>
      </c>
      <c r="J28" s="368"/>
      <c r="K28" s="368">
        <v>4304298.4800000004</v>
      </c>
      <c r="L28" s="374"/>
      <c r="M28" s="374"/>
      <c r="N28" s="375"/>
      <c r="O28" s="365">
        <f t="shared" si="0"/>
        <v>0.99955749425712304</v>
      </c>
    </row>
    <row r="29" spans="1:16" ht="26.25" customHeight="1">
      <c r="A29" s="5074" t="s">
        <v>27</v>
      </c>
      <c r="B29" s="5115" t="s">
        <v>28</v>
      </c>
      <c r="C29" s="5116"/>
      <c r="D29" s="353"/>
      <c r="E29" s="354">
        <f>SUM(E30,E35)</f>
        <v>53030000</v>
      </c>
      <c r="F29" s="354">
        <f>SUM(F30,F35)</f>
        <v>38666736</v>
      </c>
      <c r="G29" s="354">
        <f>SUM(G30,G35)</f>
        <v>34576837.030000001</v>
      </c>
      <c r="H29" s="354">
        <f>SUM(H30,H35)</f>
        <v>34576837.030000001</v>
      </c>
      <c r="I29" s="354">
        <f>SUM(I30,I35)</f>
        <v>244075.49</v>
      </c>
      <c r="J29" s="354">
        <f>J30+J35</f>
        <v>120000</v>
      </c>
      <c r="K29" s="354">
        <f>SUM(K30,K35)</f>
        <v>124075.49</v>
      </c>
      <c r="L29" s="354">
        <f>SUM(L30,L35)</f>
        <v>34332761.539999999</v>
      </c>
      <c r="M29" s="354">
        <v>0</v>
      </c>
      <c r="N29" s="354">
        <v>0</v>
      </c>
      <c r="O29" s="355">
        <f t="shared" si="0"/>
        <v>0.89422694043789996</v>
      </c>
    </row>
    <row r="30" spans="1:16" ht="27.75" customHeight="1">
      <c r="A30" s="5075"/>
      <c r="B30" s="5109" t="s">
        <v>118</v>
      </c>
      <c r="C30" s="5111" t="s">
        <v>267</v>
      </c>
      <c r="D30" s="357" t="s">
        <v>313</v>
      </c>
      <c r="E30" s="358">
        <f>SUM(E31:E34)</f>
        <v>52750000</v>
      </c>
      <c r="F30" s="358">
        <f>SUM(F31:F34)</f>
        <v>38422660</v>
      </c>
      <c r="G30" s="359">
        <f>SUM(H30,N30)</f>
        <v>34332761.539999999</v>
      </c>
      <c r="H30" s="359">
        <f>SUM(I30,L30,M30)</f>
        <v>34332761.539999999</v>
      </c>
      <c r="I30" s="359">
        <v>0</v>
      </c>
      <c r="J30" s="359">
        <v>0</v>
      </c>
      <c r="K30" s="359">
        <v>0</v>
      </c>
      <c r="L30" s="359">
        <f>SUM(L31:L34)</f>
        <v>34332761.539999999</v>
      </c>
      <c r="M30" s="359">
        <v>0</v>
      </c>
      <c r="N30" s="360">
        <v>0</v>
      </c>
      <c r="O30" s="376">
        <f t="shared" si="0"/>
        <v>0.89355504121786467</v>
      </c>
      <c r="P30" s="356"/>
    </row>
    <row r="31" spans="1:16" ht="12.75">
      <c r="A31" s="5075"/>
      <c r="B31" s="5110"/>
      <c r="C31" s="5112"/>
      <c r="D31" s="377" t="s">
        <v>19</v>
      </c>
      <c r="E31" s="378">
        <v>1600000</v>
      </c>
      <c r="F31" s="378">
        <v>342850</v>
      </c>
      <c r="G31" s="325">
        <f>H31+N31</f>
        <v>342849.07</v>
      </c>
      <c r="H31" s="325">
        <f>I31+L31+M31</f>
        <v>342849.07</v>
      </c>
      <c r="I31" s="325"/>
      <c r="J31" s="325"/>
      <c r="K31" s="325"/>
      <c r="L31" s="325">
        <v>342849.07</v>
      </c>
      <c r="M31" s="325"/>
      <c r="N31" s="364"/>
      <c r="O31" s="379">
        <f t="shared" si="0"/>
        <v>0.99999728744348848</v>
      </c>
      <c r="P31" s="356"/>
    </row>
    <row r="32" spans="1:16" ht="12.75">
      <c r="A32" s="5075"/>
      <c r="B32" s="5110"/>
      <c r="C32" s="5112"/>
      <c r="D32" s="377" t="s">
        <v>21</v>
      </c>
      <c r="E32" s="378">
        <v>4050000</v>
      </c>
      <c r="F32" s="378">
        <v>2331466</v>
      </c>
      <c r="G32" s="325">
        <f t="shared" ref="G32:G34" si="5">H32+N32</f>
        <v>2331465.7400000002</v>
      </c>
      <c r="H32" s="325">
        <f t="shared" ref="H32:H34" si="6">I32+L32+M32</f>
        <v>2331465.7400000002</v>
      </c>
      <c r="I32" s="325"/>
      <c r="J32" s="325"/>
      <c r="K32" s="325"/>
      <c r="L32" s="325">
        <v>2331465.7400000002</v>
      </c>
      <c r="M32" s="325"/>
      <c r="N32" s="364"/>
      <c r="O32" s="379">
        <f t="shared" si="0"/>
        <v>0.99999988848218258</v>
      </c>
      <c r="P32" s="356"/>
    </row>
    <row r="33" spans="1:16" ht="12.75">
      <c r="A33" s="5075"/>
      <c r="B33" s="5110"/>
      <c r="C33" s="5112"/>
      <c r="D33" s="362" t="s">
        <v>323</v>
      </c>
      <c r="E33" s="363">
        <v>44750000</v>
      </c>
      <c r="F33" s="363">
        <v>34729119</v>
      </c>
      <c r="G33" s="325">
        <f t="shared" si="5"/>
        <v>30639222.670000002</v>
      </c>
      <c r="H33" s="325">
        <f t="shared" si="6"/>
        <v>30639222.670000002</v>
      </c>
      <c r="I33" s="380"/>
      <c r="J33" s="380"/>
      <c r="K33" s="380"/>
      <c r="L33" s="325">
        <v>30639222.670000002</v>
      </c>
      <c r="M33" s="380"/>
      <c r="N33" s="381"/>
      <c r="O33" s="379">
        <f t="shared" si="0"/>
        <v>0.88223437715192266</v>
      </c>
    </row>
    <row r="34" spans="1:16" ht="12.75">
      <c r="A34" s="5075"/>
      <c r="B34" s="5113"/>
      <c r="C34" s="5114"/>
      <c r="D34" s="362" t="s">
        <v>100</v>
      </c>
      <c r="E34" s="363">
        <v>2350000</v>
      </c>
      <c r="F34" s="363">
        <v>1019225</v>
      </c>
      <c r="G34" s="325">
        <f t="shared" si="5"/>
        <v>1019224.06</v>
      </c>
      <c r="H34" s="325">
        <f t="shared" si="6"/>
        <v>1019224.06</v>
      </c>
      <c r="I34" s="380"/>
      <c r="J34" s="380"/>
      <c r="K34" s="380"/>
      <c r="L34" s="325">
        <v>1019224.06</v>
      </c>
      <c r="M34" s="380"/>
      <c r="N34" s="381"/>
      <c r="O34" s="379">
        <f t="shared" si="0"/>
        <v>0.99999907773062868</v>
      </c>
    </row>
    <row r="35" spans="1:16" ht="27" customHeight="1">
      <c r="A35" s="5075"/>
      <c r="B35" s="5109" t="s">
        <v>129</v>
      </c>
      <c r="C35" s="5111" t="s">
        <v>95</v>
      </c>
      <c r="D35" s="357" t="s">
        <v>313</v>
      </c>
      <c r="E35" s="358">
        <f>SUM(E36:E39)</f>
        <v>280000</v>
      </c>
      <c r="F35" s="358">
        <f>SUM(F36:F39)</f>
        <v>244076</v>
      </c>
      <c r="G35" s="359">
        <f t="shared" ref="G35" si="7">SUM(H35,N35)</f>
        <v>244075.49</v>
      </c>
      <c r="H35" s="359">
        <f t="shared" ref="H35" si="8">SUM(I35,L35,M35)</f>
        <v>244075.49</v>
      </c>
      <c r="I35" s="359">
        <f>SUM(J35:K35)</f>
        <v>244075.49</v>
      </c>
      <c r="J35" s="359">
        <f>SUM(J36:J39)</f>
        <v>120000</v>
      </c>
      <c r="K35" s="359">
        <f>SUM(K36:K39)</f>
        <v>124075.49</v>
      </c>
      <c r="L35" s="359">
        <v>0</v>
      </c>
      <c r="M35" s="359">
        <v>0</v>
      </c>
      <c r="N35" s="360">
        <v>0</v>
      </c>
      <c r="O35" s="376">
        <f t="shared" si="0"/>
        <v>0.99999791048689746</v>
      </c>
      <c r="P35" s="356"/>
    </row>
    <row r="36" spans="1:16" ht="12.75">
      <c r="A36" s="5075"/>
      <c r="B36" s="5110"/>
      <c r="C36" s="5112"/>
      <c r="D36" s="377" t="s">
        <v>61</v>
      </c>
      <c r="E36" s="378">
        <v>105391</v>
      </c>
      <c r="F36" s="378">
        <v>105391</v>
      </c>
      <c r="G36" s="325">
        <f>H36+N36</f>
        <v>105391</v>
      </c>
      <c r="H36" s="325">
        <f>I36+L36+M36</f>
        <v>105391</v>
      </c>
      <c r="I36" s="325">
        <f>J36+K36</f>
        <v>105391</v>
      </c>
      <c r="J36" s="325">
        <v>105391</v>
      </c>
      <c r="K36" s="325"/>
      <c r="L36" s="325"/>
      <c r="M36" s="325"/>
      <c r="N36" s="364"/>
      <c r="O36" s="379">
        <f t="shared" si="0"/>
        <v>1</v>
      </c>
      <c r="P36" s="356"/>
    </row>
    <row r="37" spans="1:16" ht="12.75">
      <c r="A37" s="5075"/>
      <c r="B37" s="5110"/>
      <c r="C37" s="5112"/>
      <c r="D37" s="377" t="s">
        <v>62</v>
      </c>
      <c r="E37" s="378">
        <v>12787</v>
      </c>
      <c r="F37" s="378">
        <v>12787</v>
      </c>
      <c r="G37" s="325">
        <f t="shared" ref="G37:G39" si="9">H37+N37</f>
        <v>12787</v>
      </c>
      <c r="H37" s="325">
        <f t="shared" ref="H37:H39" si="10">I37+L37+M37</f>
        <v>12787</v>
      </c>
      <c r="I37" s="325">
        <f t="shared" ref="I37:I39" si="11">J37+K37</f>
        <v>12787</v>
      </c>
      <c r="J37" s="325">
        <v>12787</v>
      </c>
      <c r="K37" s="325"/>
      <c r="L37" s="325"/>
      <c r="M37" s="325"/>
      <c r="N37" s="364"/>
      <c r="O37" s="379">
        <f t="shared" si="0"/>
        <v>1</v>
      </c>
      <c r="P37" s="356"/>
    </row>
    <row r="38" spans="1:16" ht="12.75">
      <c r="A38" s="5075"/>
      <c r="B38" s="5110"/>
      <c r="C38" s="5112"/>
      <c r="D38" s="377" t="s">
        <v>63</v>
      </c>
      <c r="E38" s="378">
        <v>1822</v>
      </c>
      <c r="F38" s="378">
        <v>1822</v>
      </c>
      <c r="G38" s="325">
        <f t="shared" si="9"/>
        <v>1822</v>
      </c>
      <c r="H38" s="325">
        <f t="shared" si="10"/>
        <v>1822</v>
      </c>
      <c r="I38" s="325">
        <f t="shared" si="11"/>
        <v>1822</v>
      </c>
      <c r="J38" s="325">
        <v>1822</v>
      </c>
      <c r="K38" s="325"/>
      <c r="L38" s="325"/>
      <c r="M38" s="325"/>
      <c r="N38" s="364"/>
      <c r="O38" s="379">
        <f t="shared" si="0"/>
        <v>1</v>
      </c>
      <c r="P38" s="356"/>
    </row>
    <row r="39" spans="1:16" ht="12.75">
      <c r="A39" s="5066"/>
      <c r="B39" s="5113"/>
      <c r="C39" s="5114"/>
      <c r="D39" s="362" t="s">
        <v>23</v>
      </c>
      <c r="E39" s="363">
        <v>160000</v>
      </c>
      <c r="F39" s="363">
        <v>124076</v>
      </c>
      <c r="G39" s="325">
        <f t="shared" si="9"/>
        <v>124075.49</v>
      </c>
      <c r="H39" s="325">
        <f t="shared" si="10"/>
        <v>124075.49</v>
      </c>
      <c r="I39" s="325">
        <f t="shared" si="11"/>
        <v>124075.49</v>
      </c>
      <c r="J39" s="380"/>
      <c r="K39" s="325">
        <v>124075.49</v>
      </c>
      <c r="L39" s="380"/>
      <c r="M39" s="380"/>
      <c r="N39" s="381"/>
      <c r="O39" s="379">
        <f t="shared" si="0"/>
        <v>0.9999958896160418</v>
      </c>
    </row>
    <row r="40" spans="1:16" ht="26.25" customHeight="1">
      <c r="A40" s="5074" t="s">
        <v>130</v>
      </c>
      <c r="B40" s="5115" t="s">
        <v>131</v>
      </c>
      <c r="C40" s="5116"/>
      <c r="D40" s="382"/>
      <c r="E40" s="383">
        <f t="shared" ref="E40:K40" si="12">SUM(E41)</f>
        <v>50000</v>
      </c>
      <c r="F40" s="383">
        <f t="shared" si="12"/>
        <v>50000</v>
      </c>
      <c r="G40" s="383">
        <f t="shared" si="12"/>
        <v>50000</v>
      </c>
      <c r="H40" s="383">
        <f t="shared" si="12"/>
        <v>50000</v>
      </c>
      <c r="I40" s="383">
        <f t="shared" si="12"/>
        <v>50000</v>
      </c>
      <c r="J40" s="383">
        <f t="shared" si="12"/>
        <v>50000</v>
      </c>
      <c r="K40" s="383">
        <f t="shared" si="12"/>
        <v>0</v>
      </c>
      <c r="L40" s="383">
        <v>0</v>
      </c>
      <c r="M40" s="383">
        <v>0</v>
      </c>
      <c r="N40" s="383">
        <v>0</v>
      </c>
      <c r="O40" s="384">
        <f t="shared" si="0"/>
        <v>1</v>
      </c>
    </row>
    <row r="41" spans="1:16" ht="27.75" customHeight="1">
      <c r="A41" s="5075"/>
      <c r="B41" s="5109" t="s">
        <v>133</v>
      </c>
      <c r="C41" s="5111" t="s">
        <v>95</v>
      </c>
      <c r="D41" s="357" t="s">
        <v>313</v>
      </c>
      <c r="E41" s="358">
        <f>SUM(E42:E44)</f>
        <v>50000</v>
      </c>
      <c r="F41" s="358">
        <f>SUM(F42:F44)</f>
        <v>50000</v>
      </c>
      <c r="G41" s="359">
        <f t="shared" ref="G41" si="13">SUM(H41,N41)</f>
        <v>50000</v>
      </c>
      <c r="H41" s="359">
        <f t="shared" ref="H41" si="14">SUM(I41,L41,M41)</f>
        <v>50000</v>
      </c>
      <c r="I41" s="359">
        <f>SUM(J41:K41)</f>
        <v>50000</v>
      </c>
      <c r="J41" s="359">
        <f>SUM(J42:J44)</f>
        <v>50000</v>
      </c>
      <c r="K41" s="359">
        <f>SUM(K42:K44)</f>
        <v>0</v>
      </c>
      <c r="L41" s="359">
        <v>0</v>
      </c>
      <c r="M41" s="359">
        <v>0</v>
      </c>
      <c r="N41" s="360">
        <v>0</v>
      </c>
      <c r="O41" s="376">
        <f t="shared" si="0"/>
        <v>1</v>
      </c>
      <c r="P41" s="356"/>
    </row>
    <row r="42" spans="1:16" ht="12.75">
      <c r="A42" s="5075"/>
      <c r="B42" s="5110"/>
      <c r="C42" s="5112"/>
      <c r="D42" s="377" t="s">
        <v>61</v>
      </c>
      <c r="E42" s="378">
        <v>44091</v>
      </c>
      <c r="F42" s="378">
        <v>44091</v>
      </c>
      <c r="G42" s="325">
        <f>H42+N42</f>
        <v>44091</v>
      </c>
      <c r="H42" s="325">
        <f>I42+L42+M42</f>
        <v>44091</v>
      </c>
      <c r="I42" s="325">
        <f>J42+K42</f>
        <v>44091</v>
      </c>
      <c r="J42" s="325">
        <v>44091</v>
      </c>
      <c r="K42" s="325"/>
      <c r="L42" s="325"/>
      <c r="M42" s="325"/>
      <c r="N42" s="364"/>
      <c r="O42" s="379">
        <f>G42/F42</f>
        <v>1</v>
      </c>
      <c r="P42" s="356"/>
    </row>
    <row r="43" spans="1:16" ht="12.75">
      <c r="A43" s="5075"/>
      <c r="B43" s="5110"/>
      <c r="C43" s="5112"/>
      <c r="D43" s="377" t="s">
        <v>62</v>
      </c>
      <c r="E43" s="378">
        <v>5172</v>
      </c>
      <c r="F43" s="378">
        <v>5172</v>
      </c>
      <c r="G43" s="325">
        <f>H43+N43</f>
        <v>5172</v>
      </c>
      <c r="H43" s="325">
        <f t="shared" ref="H43:H44" si="15">I43+L43+M43</f>
        <v>5172</v>
      </c>
      <c r="I43" s="325">
        <f t="shared" ref="I43:I44" si="16">J43+K43</f>
        <v>5172</v>
      </c>
      <c r="J43" s="325">
        <v>5172</v>
      </c>
      <c r="K43" s="325"/>
      <c r="L43" s="325"/>
      <c r="M43" s="325"/>
      <c r="N43" s="364"/>
      <c r="O43" s="379">
        <f t="shared" ref="O43:O44" si="17">G43/F43</f>
        <v>1</v>
      </c>
      <c r="P43" s="356"/>
    </row>
    <row r="44" spans="1:16" ht="12.75">
      <c r="A44" s="5075"/>
      <c r="B44" s="5110"/>
      <c r="C44" s="5112"/>
      <c r="D44" s="385" t="s">
        <v>63</v>
      </c>
      <c r="E44" s="386">
        <v>737</v>
      </c>
      <c r="F44" s="386">
        <v>737</v>
      </c>
      <c r="G44" s="336">
        <f>H44+N44</f>
        <v>737</v>
      </c>
      <c r="H44" s="336">
        <f t="shared" si="15"/>
        <v>737</v>
      </c>
      <c r="I44" s="336">
        <f t="shared" si="16"/>
        <v>737</v>
      </c>
      <c r="J44" s="336">
        <v>737</v>
      </c>
      <c r="K44" s="336"/>
      <c r="L44" s="336"/>
      <c r="M44" s="336"/>
      <c r="N44" s="387"/>
      <c r="O44" s="388">
        <f t="shared" si="17"/>
        <v>1</v>
      </c>
      <c r="P44" s="356"/>
    </row>
    <row r="45" spans="1:16" ht="26.25" customHeight="1">
      <c r="A45" s="5074" t="s">
        <v>189</v>
      </c>
      <c r="B45" s="5117" t="s">
        <v>191</v>
      </c>
      <c r="C45" s="5117"/>
      <c r="D45" s="382"/>
      <c r="E45" s="383">
        <f t="shared" ref="E45:K45" si="18">E46+E51</f>
        <v>386000</v>
      </c>
      <c r="F45" s="383">
        <f t="shared" si="18"/>
        <v>386000</v>
      </c>
      <c r="G45" s="383">
        <f t="shared" si="18"/>
        <v>386000</v>
      </c>
      <c r="H45" s="383">
        <f t="shared" si="18"/>
        <v>386000</v>
      </c>
      <c r="I45" s="383">
        <f t="shared" si="18"/>
        <v>386000</v>
      </c>
      <c r="J45" s="383">
        <f t="shared" si="18"/>
        <v>326000</v>
      </c>
      <c r="K45" s="383">
        <f t="shared" si="18"/>
        <v>60000</v>
      </c>
      <c r="L45" s="383">
        <v>0</v>
      </c>
      <c r="M45" s="383">
        <v>0</v>
      </c>
      <c r="N45" s="383">
        <f>N46+N51</f>
        <v>0</v>
      </c>
      <c r="O45" s="384">
        <f t="shared" si="0"/>
        <v>1</v>
      </c>
    </row>
    <row r="46" spans="1:16" ht="27.75" customHeight="1">
      <c r="A46" s="5075"/>
      <c r="B46" s="5109" t="s">
        <v>268</v>
      </c>
      <c r="C46" s="5111" t="s">
        <v>269</v>
      </c>
      <c r="D46" s="357" t="s">
        <v>313</v>
      </c>
      <c r="E46" s="358">
        <f>SUM(E47:E50)</f>
        <v>386000</v>
      </c>
      <c r="F46" s="358">
        <f>SUM(F47:F50)</f>
        <v>386000</v>
      </c>
      <c r="G46" s="359">
        <f t="shared" ref="G46" si="19">SUM(H46,N46)</f>
        <v>386000</v>
      </c>
      <c r="H46" s="359">
        <f t="shared" ref="H46" si="20">SUM(I46,L46,M46)</f>
        <v>386000</v>
      </c>
      <c r="I46" s="359">
        <f t="shared" ref="I46" si="21">SUM(J46:K46)</f>
        <v>386000</v>
      </c>
      <c r="J46" s="359">
        <f>SUM(J47:J50)</f>
        <v>326000</v>
      </c>
      <c r="K46" s="359">
        <f>SUM(K47:K50)</f>
        <v>60000</v>
      </c>
      <c r="L46" s="359">
        <v>0</v>
      </c>
      <c r="M46" s="359">
        <v>0</v>
      </c>
      <c r="N46" s="360">
        <v>0</v>
      </c>
      <c r="O46" s="361">
        <f t="shared" si="0"/>
        <v>1</v>
      </c>
      <c r="P46" s="356"/>
    </row>
    <row r="47" spans="1:16" ht="12.75">
      <c r="A47" s="5075"/>
      <c r="B47" s="5110"/>
      <c r="C47" s="5112"/>
      <c r="D47" s="377" t="s">
        <v>61</v>
      </c>
      <c r="E47" s="378">
        <v>270809</v>
      </c>
      <c r="F47" s="378">
        <v>270809</v>
      </c>
      <c r="G47" s="325">
        <f>H47+N47</f>
        <v>270809</v>
      </c>
      <c r="H47" s="325">
        <f>I47+L47+M47</f>
        <v>270809</v>
      </c>
      <c r="I47" s="325">
        <f>J47+K47</f>
        <v>270809</v>
      </c>
      <c r="J47" s="325">
        <v>270809</v>
      </c>
      <c r="K47" s="325"/>
      <c r="L47" s="359"/>
      <c r="M47" s="359"/>
      <c r="N47" s="360"/>
      <c r="O47" s="365">
        <f t="shared" si="0"/>
        <v>1</v>
      </c>
      <c r="P47" s="356"/>
    </row>
    <row r="48" spans="1:16" ht="12.75">
      <c r="A48" s="5075"/>
      <c r="B48" s="5110"/>
      <c r="C48" s="5112"/>
      <c r="D48" s="377" t="s">
        <v>62</v>
      </c>
      <c r="E48" s="378">
        <v>48556</v>
      </c>
      <c r="F48" s="378">
        <v>48556</v>
      </c>
      <c r="G48" s="325">
        <f t="shared" ref="G48:G50" si="22">H48+N48</f>
        <v>48556</v>
      </c>
      <c r="H48" s="325">
        <f t="shared" ref="H48:H50" si="23">I48+L48+M48</f>
        <v>48556</v>
      </c>
      <c r="I48" s="325">
        <f t="shared" ref="I48:I50" si="24">J48+K48</f>
        <v>48556</v>
      </c>
      <c r="J48" s="325">
        <v>48556</v>
      </c>
      <c r="K48" s="325"/>
      <c r="L48" s="359"/>
      <c r="M48" s="359"/>
      <c r="N48" s="360"/>
      <c r="O48" s="365">
        <f t="shared" si="0"/>
        <v>1</v>
      </c>
      <c r="P48" s="356"/>
    </row>
    <row r="49" spans="1:16" ht="12.75">
      <c r="A49" s="5075"/>
      <c r="B49" s="5110"/>
      <c r="C49" s="5112"/>
      <c r="D49" s="377" t="s">
        <v>63</v>
      </c>
      <c r="E49" s="378">
        <v>6635</v>
      </c>
      <c r="F49" s="378">
        <v>6635</v>
      </c>
      <c r="G49" s="325">
        <f t="shared" si="22"/>
        <v>6635</v>
      </c>
      <c r="H49" s="325">
        <f t="shared" si="23"/>
        <v>6635</v>
      </c>
      <c r="I49" s="325">
        <f t="shared" si="24"/>
        <v>6635</v>
      </c>
      <c r="J49" s="325">
        <v>6635</v>
      </c>
      <c r="K49" s="325"/>
      <c r="L49" s="359"/>
      <c r="M49" s="359"/>
      <c r="N49" s="360"/>
      <c r="O49" s="365">
        <f t="shared" si="0"/>
        <v>1</v>
      </c>
      <c r="P49" s="356"/>
    </row>
    <row r="50" spans="1:16" ht="12.75">
      <c r="A50" s="5075"/>
      <c r="B50" s="5110"/>
      <c r="C50" s="5112"/>
      <c r="D50" s="377" t="s">
        <v>23</v>
      </c>
      <c r="E50" s="378">
        <v>60000</v>
      </c>
      <c r="F50" s="378">
        <v>60000</v>
      </c>
      <c r="G50" s="325">
        <f t="shared" si="22"/>
        <v>60000</v>
      </c>
      <c r="H50" s="325">
        <f t="shared" si="23"/>
        <v>60000</v>
      </c>
      <c r="I50" s="325">
        <f t="shared" si="24"/>
        <v>60000</v>
      </c>
      <c r="J50" s="325"/>
      <c r="K50" s="325">
        <v>60000</v>
      </c>
      <c r="L50" s="359"/>
      <c r="M50" s="359"/>
      <c r="N50" s="360"/>
      <c r="O50" s="365">
        <f t="shared" si="0"/>
        <v>1</v>
      </c>
      <c r="P50" s="356"/>
    </row>
    <row r="51" spans="1:16" ht="28.5" hidden="1" customHeight="1">
      <c r="A51" s="5075"/>
      <c r="B51" s="5109" t="s">
        <v>270</v>
      </c>
      <c r="C51" s="5111" t="s">
        <v>95</v>
      </c>
      <c r="D51" s="389" t="s">
        <v>313</v>
      </c>
      <c r="E51" s="370">
        <f>SUM(E52:E52)</f>
        <v>0</v>
      </c>
      <c r="F51" s="370">
        <f>SUM(F52:F52)</f>
        <v>0</v>
      </c>
      <c r="G51" s="371">
        <f t="shared" ref="G51" si="25">SUM(H51,N51)</f>
        <v>0</v>
      </c>
      <c r="H51" s="371">
        <f t="shared" ref="H51" si="26">SUM(I51,L51,M51)</f>
        <v>0</v>
      </c>
      <c r="I51" s="371">
        <f t="shared" ref="I51" si="27">SUM(J51:K51)</f>
        <v>0</v>
      </c>
      <c r="J51" s="371">
        <v>0</v>
      </c>
      <c r="K51" s="371">
        <f>SUM(K52:K52)</f>
        <v>0</v>
      </c>
      <c r="L51" s="371">
        <v>0</v>
      </c>
      <c r="M51" s="371">
        <v>0</v>
      </c>
      <c r="N51" s="372">
        <v>0</v>
      </c>
      <c r="O51" s="361"/>
    </row>
    <row r="52" spans="1:16" ht="12.75" hidden="1">
      <c r="A52" s="5066"/>
      <c r="B52" s="5113"/>
      <c r="C52" s="5114"/>
      <c r="D52" s="366" t="s">
        <v>87</v>
      </c>
      <c r="E52" s="367"/>
      <c r="F52" s="367"/>
      <c r="G52" s="368"/>
      <c r="H52" s="368"/>
      <c r="I52" s="368"/>
      <c r="J52" s="368"/>
      <c r="K52" s="368"/>
      <c r="L52" s="374"/>
      <c r="M52" s="374"/>
      <c r="N52" s="369"/>
      <c r="O52" s="365"/>
    </row>
    <row r="53" spans="1:16" ht="27.75" customHeight="1">
      <c r="A53" s="5074" t="s">
        <v>92</v>
      </c>
      <c r="B53" s="5117" t="s">
        <v>93</v>
      </c>
      <c r="C53" s="5117"/>
      <c r="D53" s="382"/>
      <c r="E53" s="383">
        <f t="shared" ref="E53:K53" si="28">SUM(E54,E58,E64)</f>
        <v>392000</v>
      </c>
      <c r="F53" s="383">
        <f t="shared" si="28"/>
        <v>392000</v>
      </c>
      <c r="G53" s="383">
        <f t="shared" si="28"/>
        <v>384728.63</v>
      </c>
      <c r="H53" s="383">
        <f t="shared" si="28"/>
        <v>384728.63</v>
      </c>
      <c r="I53" s="383">
        <f t="shared" si="28"/>
        <v>382296.85</v>
      </c>
      <c r="J53" s="383">
        <f t="shared" si="28"/>
        <v>345860.19</v>
      </c>
      <c r="K53" s="383">
        <f t="shared" si="28"/>
        <v>36436.660000000003</v>
      </c>
      <c r="L53" s="383">
        <v>0</v>
      </c>
      <c r="M53" s="383">
        <f>SUM(M54,M58,M64)</f>
        <v>2431.7800000000002</v>
      </c>
      <c r="N53" s="383">
        <f>SUM(N54,N58,N64)</f>
        <v>0</v>
      </c>
      <c r="O53" s="384">
        <f t="shared" si="0"/>
        <v>0.98145058673469388</v>
      </c>
    </row>
    <row r="54" spans="1:16" ht="27" customHeight="1">
      <c r="A54" s="5075"/>
      <c r="B54" s="5109" t="s">
        <v>193</v>
      </c>
      <c r="C54" s="5111" t="s">
        <v>194</v>
      </c>
      <c r="D54" s="357" t="s">
        <v>313</v>
      </c>
      <c r="E54" s="358">
        <f>SUM(E55:E57)</f>
        <v>156000</v>
      </c>
      <c r="F54" s="358">
        <f>SUM(F55:F57)</f>
        <v>156000</v>
      </c>
      <c r="G54" s="359">
        <f t="shared" ref="G54:G58" si="29">SUM(H54,N54)</f>
        <v>156000</v>
      </c>
      <c r="H54" s="359">
        <f t="shared" ref="H54:H58" si="30">SUM(I54,L54,M54)</f>
        <v>156000</v>
      </c>
      <c r="I54" s="359">
        <f t="shared" ref="I54:I58" si="31">SUM(J54:K54)</f>
        <v>156000</v>
      </c>
      <c r="J54" s="359">
        <f>SUM(J55:J57)</f>
        <v>156000</v>
      </c>
      <c r="K54" s="359">
        <f>SUM(K56:K57)</f>
        <v>0</v>
      </c>
      <c r="L54" s="359">
        <v>0</v>
      </c>
      <c r="M54" s="359">
        <v>0</v>
      </c>
      <c r="N54" s="360">
        <v>0</v>
      </c>
      <c r="O54" s="361">
        <f t="shared" ref="O54:O75" si="32">SUM(G54/F54)</f>
        <v>1</v>
      </c>
      <c r="P54" s="356"/>
    </row>
    <row r="55" spans="1:16" ht="12.75">
      <c r="A55" s="5075"/>
      <c r="B55" s="5110"/>
      <c r="C55" s="5112"/>
      <c r="D55" s="362" t="s">
        <v>61</v>
      </c>
      <c r="E55" s="363">
        <v>130556</v>
      </c>
      <c r="F55" s="363">
        <v>130556</v>
      </c>
      <c r="G55" s="325">
        <f>H55+N55</f>
        <v>130556</v>
      </c>
      <c r="H55" s="325">
        <f>I55+L55+M55</f>
        <v>130556</v>
      </c>
      <c r="I55" s="325">
        <f>J55+K55</f>
        <v>130556</v>
      </c>
      <c r="J55" s="325">
        <v>130556</v>
      </c>
      <c r="K55" s="380"/>
      <c r="L55" s="380"/>
      <c r="M55" s="380"/>
      <c r="N55" s="381"/>
      <c r="O55" s="365">
        <f t="shared" si="32"/>
        <v>1</v>
      </c>
    </row>
    <row r="56" spans="1:16" ht="12.75">
      <c r="A56" s="5075"/>
      <c r="B56" s="5110"/>
      <c r="C56" s="5112"/>
      <c r="D56" s="362" t="s">
        <v>62</v>
      </c>
      <c r="E56" s="363">
        <v>22270</v>
      </c>
      <c r="F56" s="363">
        <v>22270</v>
      </c>
      <c r="G56" s="325">
        <f t="shared" ref="G56:G57" si="33">H56+N56</f>
        <v>22270</v>
      </c>
      <c r="H56" s="325">
        <f t="shared" ref="H56:H57" si="34">I56+L56+M56</f>
        <v>22270</v>
      </c>
      <c r="I56" s="325">
        <f t="shared" ref="I56:I57" si="35">J56+K56</f>
        <v>22270</v>
      </c>
      <c r="J56" s="325">
        <v>22270</v>
      </c>
      <c r="K56" s="380"/>
      <c r="L56" s="380"/>
      <c r="M56" s="380"/>
      <c r="N56" s="381"/>
      <c r="O56" s="365">
        <f t="shared" si="32"/>
        <v>1</v>
      </c>
    </row>
    <row r="57" spans="1:16" ht="12.75">
      <c r="A57" s="5075"/>
      <c r="B57" s="5110"/>
      <c r="C57" s="5112"/>
      <c r="D57" s="362" t="s">
        <v>63</v>
      </c>
      <c r="E57" s="363">
        <v>3174</v>
      </c>
      <c r="F57" s="363">
        <v>3174</v>
      </c>
      <c r="G57" s="325">
        <f t="shared" si="33"/>
        <v>3174</v>
      </c>
      <c r="H57" s="325">
        <f t="shared" si="34"/>
        <v>3174</v>
      </c>
      <c r="I57" s="325">
        <f t="shared" si="35"/>
        <v>3174</v>
      </c>
      <c r="J57" s="325">
        <v>3174</v>
      </c>
      <c r="K57" s="380"/>
      <c r="L57" s="380"/>
      <c r="M57" s="380"/>
      <c r="N57" s="381"/>
      <c r="O57" s="365"/>
    </row>
    <row r="58" spans="1:16" ht="29.25" customHeight="1">
      <c r="A58" s="5075"/>
      <c r="B58" s="5109" t="s">
        <v>271</v>
      </c>
      <c r="C58" s="5111" t="s">
        <v>272</v>
      </c>
      <c r="D58" s="357" t="s">
        <v>313</v>
      </c>
      <c r="E58" s="358">
        <f>SUM(E59:E63)</f>
        <v>20000</v>
      </c>
      <c r="F58" s="358">
        <f>SUM(F59:F63)</f>
        <v>20000</v>
      </c>
      <c r="G58" s="359">
        <f t="shared" si="29"/>
        <v>12733.05</v>
      </c>
      <c r="H58" s="359">
        <f t="shared" si="30"/>
        <v>12733.05</v>
      </c>
      <c r="I58" s="359">
        <f t="shared" si="31"/>
        <v>12733.05</v>
      </c>
      <c r="J58" s="359">
        <f>SUM(J59:J63)</f>
        <v>5741.37</v>
      </c>
      <c r="K58" s="359">
        <f>SUM(K59:K63)</f>
        <v>6991.68</v>
      </c>
      <c r="L58" s="359">
        <v>0</v>
      </c>
      <c r="M58" s="359">
        <v>0</v>
      </c>
      <c r="N58" s="360">
        <v>0</v>
      </c>
      <c r="O58" s="361">
        <f t="shared" si="32"/>
        <v>0.63665249999999995</v>
      </c>
      <c r="P58" s="356"/>
    </row>
    <row r="59" spans="1:16" ht="12.75">
      <c r="A59" s="5075"/>
      <c r="B59" s="5110"/>
      <c r="C59" s="5112"/>
      <c r="D59" s="362" t="s">
        <v>62</v>
      </c>
      <c r="E59" s="363">
        <v>700</v>
      </c>
      <c r="F59" s="363">
        <v>1200</v>
      </c>
      <c r="G59" s="325">
        <f>H59+N59</f>
        <v>701.37</v>
      </c>
      <c r="H59" s="325">
        <f>I59+L59+M59</f>
        <v>701.37</v>
      </c>
      <c r="I59" s="325">
        <f>J59+K59</f>
        <v>701.37</v>
      </c>
      <c r="J59" s="325">
        <v>701.37</v>
      </c>
      <c r="K59" s="380"/>
      <c r="L59" s="380"/>
      <c r="M59" s="380"/>
      <c r="N59" s="381"/>
      <c r="O59" s="365">
        <f t="shared" si="32"/>
        <v>0.58447499999999997</v>
      </c>
    </row>
    <row r="60" spans="1:16" ht="12.75">
      <c r="A60" s="5075"/>
      <c r="B60" s="5110"/>
      <c r="C60" s="5112"/>
      <c r="D60" s="362" t="s">
        <v>63</v>
      </c>
      <c r="E60" s="363">
        <v>140</v>
      </c>
      <c r="F60" s="363">
        <v>140</v>
      </c>
      <c r="G60" s="325"/>
      <c r="H60" s="325"/>
      <c r="I60" s="325"/>
      <c r="J60" s="325"/>
      <c r="K60" s="380"/>
      <c r="L60" s="380"/>
      <c r="M60" s="380"/>
      <c r="N60" s="381"/>
      <c r="O60" s="365">
        <f t="shared" si="32"/>
        <v>0</v>
      </c>
    </row>
    <row r="61" spans="1:16" ht="12.75">
      <c r="A61" s="5075"/>
      <c r="B61" s="5110"/>
      <c r="C61" s="5112"/>
      <c r="D61" s="362" t="s">
        <v>324</v>
      </c>
      <c r="E61" s="363">
        <v>10430</v>
      </c>
      <c r="F61" s="363">
        <v>9930</v>
      </c>
      <c r="G61" s="325">
        <f t="shared" ref="G61:G63" si="36">H61+N61</f>
        <v>5040</v>
      </c>
      <c r="H61" s="325">
        <f t="shared" ref="H61:H63" si="37">I61+L61+M61</f>
        <v>5040</v>
      </c>
      <c r="I61" s="325">
        <f t="shared" ref="I61:I63" si="38">J61+K61</f>
        <v>5040</v>
      </c>
      <c r="J61" s="325">
        <v>5040</v>
      </c>
      <c r="K61" s="380"/>
      <c r="L61" s="380"/>
      <c r="M61" s="380"/>
      <c r="N61" s="381"/>
      <c r="O61" s="365">
        <f t="shared" si="32"/>
        <v>0.50755287009063443</v>
      </c>
    </row>
    <row r="62" spans="1:16" ht="12.75">
      <c r="A62" s="5075"/>
      <c r="B62" s="5110"/>
      <c r="C62" s="5112"/>
      <c r="D62" s="362" t="s">
        <v>22</v>
      </c>
      <c r="E62" s="363">
        <v>3500</v>
      </c>
      <c r="F62" s="363">
        <v>3500</v>
      </c>
      <c r="G62" s="325">
        <f t="shared" si="36"/>
        <v>2419.88</v>
      </c>
      <c r="H62" s="325">
        <f t="shared" si="37"/>
        <v>2419.88</v>
      </c>
      <c r="I62" s="325">
        <f t="shared" si="38"/>
        <v>2419.88</v>
      </c>
      <c r="J62" s="380"/>
      <c r="K62" s="325">
        <v>2419.88</v>
      </c>
      <c r="L62" s="380"/>
      <c r="M62" s="380"/>
      <c r="N62" s="381"/>
      <c r="O62" s="365">
        <f t="shared" si="32"/>
        <v>0.69139428571428574</v>
      </c>
    </row>
    <row r="63" spans="1:16" ht="12.75">
      <c r="A63" s="5075"/>
      <c r="B63" s="5113"/>
      <c r="C63" s="5114"/>
      <c r="D63" s="362" t="s">
        <v>23</v>
      </c>
      <c r="E63" s="363">
        <v>5230</v>
      </c>
      <c r="F63" s="363">
        <v>5230</v>
      </c>
      <c r="G63" s="325">
        <f t="shared" si="36"/>
        <v>4571.8</v>
      </c>
      <c r="H63" s="325">
        <f t="shared" si="37"/>
        <v>4571.8</v>
      </c>
      <c r="I63" s="325">
        <f t="shared" si="38"/>
        <v>4571.8</v>
      </c>
      <c r="J63" s="325"/>
      <c r="K63" s="325">
        <v>4571.8</v>
      </c>
      <c r="L63" s="380"/>
      <c r="M63" s="380"/>
      <c r="N63" s="381"/>
      <c r="O63" s="365">
        <f t="shared" si="32"/>
        <v>0.87414913957934992</v>
      </c>
    </row>
    <row r="64" spans="1:16" ht="29.25" customHeight="1">
      <c r="A64" s="5075"/>
      <c r="B64" s="5109" t="s">
        <v>273</v>
      </c>
      <c r="C64" s="5111" t="s">
        <v>274</v>
      </c>
      <c r="D64" s="357" t="s">
        <v>313</v>
      </c>
      <c r="E64" s="358">
        <f>SUM(E65:E75)</f>
        <v>216000</v>
      </c>
      <c r="F64" s="358">
        <f>SUM(F65:F75)</f>
        <v>216000</v>
      </c>
      <c r="G64" s="359">
        <f>SUM(H64,N64)</f>
        <v>215995.58000000002</v>
      </c>
      <c r="H64" s="359">
        <f>SUM(I64,L64,M64)</f>
        <v>215995.58000000002</v>
      </c>
      <c r="I64" s="359">
        <f>SUM(J64:K64)</f>
        <v>213563.80000000002</v>
      </c>
      <c r="J64" s="359">
        <f>SUM(J65:J75)</f>
        <v>184118.82</v>
      </c>
      <c r="K64" s="359">
        <f>SUM(K65:K75)</f>
        <v>29444.98</v>
      </c>
      <c r="L64" s="359">
        <v>0</v>
      </c>
      <c r="M64" s="359">
        <f>SUM(M65:M75)</f>
        <v>2431.7800000000002</v>
      </c>
      <c r="N64" s="360">
        <f>SUM(N66:N75)</f>
        <v>0</v>
      </c>
      <c r="O64" s="361">
        <f t="shared" si="32"/>
        <v>0.99997953703703713</v>
      </c>
      <c r="P64" s="356"/>
    </row>
    <row r="65" spans="1:16" ht="12.75">
      <c r="A65" s="5075"/>
      <c r="B65" s="5110"/>
      <c r="C65" s="5112"/>
      <c r="D65" s="377" t="s">
        <v>325</v>
      </c>
      <c r="E65" s="378">
        <v>7000</v>
      </c>
      <c r="F65" s="378">
        <v>2432</v>
      </c>
      <c r="G65" s="325">
        <f>H65+N65</f>
        <v>2431.7800000000002</v>
      </c>
      <c r="H65" s="325">
        <f>I65+L65+M65</f>
        <v>2431.7800000000002</v>
      </c>
      <c r="I65" s="325">
        <f>J65+K65</f>
        <v>0</v>
      </c>
      <c r="J65" s="359"/>
      <c r="K65" s="359"/>
      <c r="L65" s="359"/>
      <c r="M65" s="325">
        <v>2431.7800000000002</v>
      </c>
      <c r="N65" s="360"/>
      <c r="O65" s="365">
        <f t="shared" si="32"/>
        <v>0.99990953947368433</v>
      </c>
      <c r="P65" s="356"/>
    </row>
    <row r="66" spans="1:16" ht="12.75">
      <c r="A66" s="5075"/>
      <c r="B66" s="5110"/>
      <c r="C66" s="5112"/>
      <c r="D66" s="362" t="s">
        <v>61</v>
      </c>
      <c r="E66" s="363">
        <v>132063</v>
      </c>
      <c r="F66" s="363">
        <v>155853</v>
      </c>
      <c r="G66" s="325">
        <f t="shared" ref="G66:G75" si="39">H66+N66</f>
        <v>155852.41</v>
      </c>
      <c r="H66" s="325">
        <f t="shared" ref="H66:H75" si="40">I66+L66+M66</f>
        <v>155852.41</v>
      </c>
      <c r="I66" s="325">
        <f t="shared" ref="I66:I75" si="41">J66+K66</f>
        <v>155852.41</v>
      </c>
      <c r="J66" s="325">
        <v>155852.41</v>
      </c>
      <c r="K66" s="380"/>
      <c r="L66" s="380"/>
      <c r="M66" s="380"/>
      <c r="N66" s="381"/>
      <c r="O66" s="365">
        <f t="shared" si="32"/>
        <v>0.99999621438150055</v>
      </c>
    </row>
    <row r="67" spans="1:16" ht="12.75">
      <c r="A67" s="5075"/>
      <c r="B67" s="5110"/>
      <c r="C67" s="5112"/>
      <c r="D67" s="362" t="s">
        <v>62</v>
      </c>
      <c r="E67" s="363">
        <v>22701</v>
      </c>
      <c r="F67" s="363">
        <v>25811</v>
      </c>
      <c r="G67" s="325">
        <f t="shared" si="39"/>
        <v>25810.240000000002</v>
      </c>
      <c r="H67" s="325">
        <f t="shared" si="40"/>
        <v>25810.240000000002</v>
      </c>
      <c r="I67" s="325">
        <f t="shared" si="41"/>
        <v>25810.240000000002</v>
      </c>
      <c r="J67" s="325">
        <v>25810.240000000002</v>
      </c>
      <c r="K67" s="380"/>
      <c r="L67" s="380"/>
      <c r="M67" s="380"/>
      <c r="N67" s="381"/>
      <c r="O67" s="365">
        <f t="shared" si="32"/>
        <v>0.99997055518964784</v>
      </c>
    </row>
    <row r="68" spans="1:16" ht="12.75">
      <c r="A68" s="5075"/>
      <c r="B68" s="5110"/>
      <c r="C68" s="5112"/>
      <c r="D68" s="362" t="s">
        <v>63</v>
      </c>
      <c r="E68" s="363">
        <v>3236</v>
      </c>
      <c r="F68" s="363">
        <v>2457</v>
      </c>
      <c r="G68" s="325">
        <f t="shared" si="39"/>
        <v>2456.17</v>
      </c>
      <c r="H68" s="325">
        <f t="shared" si="40"/>
        <v>2456.17</v>
      </c>
      <c r="I68" s="325">
        <f t="shared" si="41"/>
        <v>2456.17</v>
      </c>
      <c r="J68" s="325">
        <v>2456.17</v>
      </c>
      <c r="K68" s="380"/>
      <c r="L68" s="380"/>
      <c r="M68" s="380"/>
      <c r="N68" s="381"/>
      <c r="O68" s="365">
        <f t="shared" si="32"/>
        <v>0.99966218966218967</v>
      </c>
    </row>
    <row r="69" spans="1:16" ht="12.75">
      <c r="A69" s="5075"/>
      <c r="B69" s="5110"/>
      <c r="C69" s="5112"/>
      <c r="D69" s="362" t="s">
        <v>324</v>
      </c>
      <c r="E69" s="363">
        <v>2000</v>
      </c>
      <c r="F69" s="363"/>
      <c r="G69" s="325"/>
      <c r="H69" s="325"/>
      <c r="I69" s="325"/>
      <c r="J69" s="325"/>
      <c r="K69" s="380"/>
      <c r="L69" s="380"/>
      <c r="M69" s="380"/>
      <c r="N69" s="381"/>
      <c r="O69" s="365"/>
    </row>
    <row r="70" spans="1:16" ht="12.75">
      <c r="A70" s="5075"/>
      <c r="B70" s="5110"/>
      <c r="C70" s="5112"/>
      <c r="D70" s="362" t="s">
        <v>22</v>
      </c>
      <c r="E70" s="363">
        <v>22000</v>
      </c>
      <c r="F70" s="363">
        <v>18642</v>
      </c>
      <c r="G70" s="325">
        <f t="shared" si="39"/>
        <v>18641.27</v>
      </c>
      <c r="H70" s="325">
        <f t="shared" si="40"/>
        <v>18641.27</v>
      </c>
      <c r="I70" s="325">
        <f t="shared" si="41"/>
        <v>18641.27</v>
      </c>
      <c r="J70" s="325"/>
      <c r="K70" s="325">
        <v>18641.27</v>
      </c>
      <c r="L70" s="380"/>
      <c r="M70" s="380"/>
      <c r="N70" s="381"/>
      <c r="O70" s="365">
        <f t="shared" si="32"/>
        <v>0.99996084111146877</v>
      </c>
    </row>
    <row r="71" spans="1:16" ht="12.75">
      <c r="A71" s="5075"/>
      <c r="B71" s="5110"/>
      <c r="C71" s="5112"/>
      <c r="D71" s="362" t="s">
        <v>326</v>
      </c>
      <c r="E71" s="363">
        <v>1000</v>
      </c>
      <c r="F71" s="363">
        <v>399</v>
      </c>
      <c r="G71" s="325">
        <f t="shared" si="39"/>
        <v>398.29</v>
      </c>
      <c r="H71" s="325">
        <f t="shared" si="40"/>
        <v>398.29</v>
      </c>
      <c r="I71" s="325">
        <f t="shared" si="41"/>
        <v>398.29</v>
      </c>
      <c r="J71" s="325"/>
      <c r="K71" s="325">
        <v>398.29</v>
      </c>
      <c r="L71" s="380"/>
      <c r="M71" s="380"/>
      <c r="N71" s="381"/>
      <c r="O71" s="365">
        <f t="shared" si="32"/>
        <v>0.99822055137844612</v>
      </c>
    </row>
    <row r="72" spans="1:16" ht="12.75">
      <c r="A72" s="5075"/>
      <c r="B72" s="5110"/>
      <c r="C72" s="5112"/>
      <c r="D72" s="362" t="s">
        <v>23</v>
      </c>
      <c r="E72" s="363">
        <v>20000</v>
      </c>
      <c r="F72" s="363">
        <v>8989</v>
      </c>
      <c r="G72" s="325">
        <f t="shared" si="39"/>
        <v>8988.4599999999991</v>
      </c>
      <c r="H72" s="325">
        <f t="shared" si="40"/>
        <v>8988.4599999999991</v>
      </c>
      <c r="I72" s="325">
        <f t="shared" si="41"/>
        <v>8988.4599999999991</v>
      </c>
      <c r="J72" s="325"/>
      <c r="K72" s="325">
        <v>8988.4599999999991</v>
      </c>
      <c r="L72" s="380"/>
      <c r="M72" s="380"/>
      <c r="N72" s="381"/>
      <c r="O72" s="365">
        <f t="shared" si="32"/>
        <v>0.99993992657692721</v>
      </c>
    </row>
    <row r="73" spans="1:16" ht="12.75">
      <c r="A73" s="5075"/>
      <c r="B73" s="5110"/>
      <c r="C73" s="5112"/>
      <c r="D73" s="362" t="s">
        <v>327</v>
      </c>
      <c r="E73" s="363">
        <v>2000</v>
      </c>
      <c r="F73" s="363"/>
      <c r="G73" s="325"/>
      <c r="H73" s="325"/>
      <c r="I73" s="325"/>
      <c r="J73" s="325"/>
      <c r="K73" s="325"/>
      <c r="L73" s="380"/>
      <c r="M73" s="380"/>
      <c r="N73" s="381"/>
      <c r="O73" s="365"/>
    </row>
    <row r="74" spans="1:16" ht="12.75">
      <c r="A74" s="5075"/>
      <c r="B74" s="5110"/>
      <c r="C74" s="5112"/>
      <c r="D74" s="362" t="s">
        <v>328</v>
      </c>
      <c r="E74" s="363">
        <v>2000</v>
      </c>
      <c r="F74" s="363"/>
      <c r="G74" s="325"/>
      <c r="H74" s="325"/>
      <c r="I74" s="325"/>
      <c r="J74" s="325"/>
      <c r="K74" s="325"/>
      <c r="L74" s="380"/>
      <c r="M74" s="380"/>
      <c r="N74" s="381"/>
      <c r="O74" s="365"/>
    </row>
    <row r="75" spans="1:16" ht="12.6" customHeight="1">
      <c r="A75" s="5075"/>
      <c r="B75" s="5110"/>
      <c r="C75" s="5112"/>
      <c r="D75" s="390" t="s">
        <v>64</v>
      </c>
      <c r="E75" s="391">
        <v>2000</v>
      </c>
      <c r="F75" s="391">
        <v>1417</v>
      </c>
      <c r="G75" s="336">
        <f t="shared" si="39"/>
        <v>1416.96</v>
      </c>
      <c r="H75" s="336">
        <f t="shared" si="40"/>
        <v>1416.96</v>
      </c>
      <c r="I75" s="336">
        <f t="shared" si="41"/>
        <v>1416.96</v>
      </c>
      <c r="J75" s="392"/>
      <c r="K75" s="336">
        <v>1416.96</v>
      </c>
      <c r="L75" s="392"/>
      <c r="M75" s="392"/>
      <c r="N75" s="393"/>
      <c r="O75" s="394">
        <f t="shared" si="32"/>
        <v>0.99997177134791815</v>
      </c>
    </row>
    <row r="76" spans="1:16" ht="42" hidden="1" customHeight="1">
      <c r="A76" s="5074" t="s">
        <v>275</v>
      </c>
      <c r="B76" s="5118" t="s">
        <v>276</v>
      </c>
      <c r="C76" s="5118"/>
      <c r="D76" s="382"/>
      <c r="E76" s="383">
        <f>SUM(E77)</f>
        <v>0</v>
      </c>
      <c r="F76" s="383">
        <f>SUM(F77)</f>
        <v>0</v>
      </c>
      <c r="G76" s="383">
        <f>H76+N76</f>
        <v>0</v>
      </c>
      <c r="H76" s="383">
        <f>I76+L76+M76</f>
        <v>0</v>
      </c>
      <c r="I76" s="383">
        <f>J76+K76</f>
        <v>0</v>
      </c>
      <c r="J76" s="383">
        <f t="shared" ref="J76:K76" si="42">SUM(J77)</f>
        <v>0</v>
      </c>
      <c r="K76" s="383">
        <f t="shared" si="42"/>
        <v>0</v>
      </c>
      <c r="L76" s="383">
        <f>SUM(L77)</f>
        <v>0</v>
      </c>
      <c r="M76" s="383">
        <f>SUM(M77)</f>
        <v>0</v>
      </c>
      <c r="N76" s="383">
        <f>SUM(N77)</f>
        <v>0</v>
      </c>
      <c r="O76" s="384" t="e">
        <f t="shared" ref="O76" si="43">G76/F76</f>
        <v>#DIV/0!</v>
      </c>
    </row>
    <row r="77" spans="1:16" ht="28.9" hidden="1" customHeight="1">
      <c r="A77" s="5075"/>
      <c r="B77" s="5109" t="s">
        <v>277</v>
      </c>
      <c r="C77" s="5111" t="s">
        <v>278</v>
      </c>
      <c r="D77" s="357" t="s">
        <v>313</v>
      </c>
      <c r="E77" s="358">
        <f>SUM(E78:E79)</f>
        <v>0</v>
      </c>
      <c r="F77" s="358">
        <f>SUM(F78:F79)</f>
        <v>0</v>
      </c>
      <c r="G77" s="359">
        <f t="shared" ref="G77" si="44">SUM(H77,N77)</f>
        <v>0</v>
      </c>
      <c r="H77" s="359">
        <f t="shared" ref="H77" si="45">SUM(I77,L77,M77)</f>
        <v>0</v>
      </c>
      <c r="I77" s="359">
        <f t="shared" ref="I77" si="46">SUM(J77:K77)</f>
        <v>0</v>
      </c>
      <c r="J77" s="359">
        <f>SUM(J78:J79)</f>
        <v>0</v>
      </c>
      <c r="K77" s="359">
        <f>SUM(K78:K79)</f>
        <v>0</v>
      </c>
      <c r="L77" s="359">
        <v>0</v>
      </c>
      <c r="M77" s="359">
        <f>SUM(M78:M79)</f>
        <v>0</v>
      </c>
      <c r="N77" s="360">
        <v>0</v>
      </c>
      <c r="O77" s="361" t="e">
        <f t="shared" ref="O77:O79" si="47">SUM(G77/F77)</f>
        <v>#DIV/0!</v>
      </c>
      <c r="P77" s="356"/>
    </row>
    <row r="78" spans="1:16" ht="12.75" hidden="1">
      <c r="A78" s="5075"/>
      <c r="B78" s="5110"/>
      <c r="C78" s="5112"/>
      <c r="D78" s="362" t="s">
        <v>22</v>
      </c>
      <c r="E78" s="363"/>
      <c r="F78" s="363"/>
      <c r="G78" s="325"/>
      <c r="H78" s="325"/>
      <c r="I78" s="325"/>
      <c r="J78" s="325"/>
      <c r="K78" s="325"/>
      <c r="L78" s="380"/>
      <c r="M78" s="380"/>
      <c r="N78" s="381"/>
      <c r="O78" s="365" t="e">
        <f t="shared" si="47"/>
        <v>#DIV/0!</v>
      </c>
    </row>
    <row r="79" spans="1:16" ht="4.5" hidden="1" customHeight="1">
      <c r="A79" s="5066"/>
      <c r="B79" s="5113"/>
      <c r="C79" s="5114"/>
      <c r="D79" s="362" t="s">
        <v>23</v>
      </c>
      <c r="E79" s="363"/>
      <c r="F79" s="363"/>
      <c r="G79" s="325"/>
      <c r="H79" s="325"/>
      <c r="I79" s="325"/>
      <c r="J79" s="325"/>
      <c r="K79" s="325"/>
      <c r="L79" s="380"/>
      <c r="M79" s="380"/>
      <c r="N79" s="381"/>
      <c r="O79" s="365" t="e">
        <f t="shared" si="47"/>
        <v>#DIV/0!</v>
      </c>
    </row>
    <row r="80" spans="1:16" s="395" customFormat="1" ht="26.25" customHeight="1">
      <c r="A80" s="5074" t="s">
        <v>149</v>
      </c>
      <c r="B80" s="5117" t="s">
        <v>150</v>
      </c>
      <c r="C80" s="5117"/>
      <c r="D80" s="382"/>
      <c r="E80" s="383">
        <f>SUM(E81)</f>
        <v>0</v>
      </c>
      <c r="F80" s="383">
        <f>SUM(F81)</f>
        <v>13988</v>
      </c>
      <c r="G80" s="383">
        <f>SUM(G81)</f>
        <v>13690.21</v>
      </c>
      <c r="H80" s="383">
        <f>SUM(H81)</f>
        <v>13690.21</v>
      </c>
      <c r="I80" s="383">
        <f>SUM(I81)</f>
        <v>13690.21</v>
      </c>
      <c r="J80" s="383">
        <v>0</v>
      </c>
      <c r="K80" s="383">
        <f>SUM(K81)</f>
        <v>13690.21</v>
      </c>
      <c r="L80" s="383">
        <v>0</v>
      </c>
      <c r="M80" s="383">
        <v>0</v>
      </c>
      <c r="N80" s="383">
        <v>0</v>
      </c>
      <c r="O80" s="384">
        <f t="shared" ref="O80:O126" si="48">G80/F80</f>
        <v>0.97871103803259929</v>
      </c>
    </row>
    <row r="81" spans="1:16" ht="33.75" customHeight="1">
      <c r="A81" s="5075"/>
      <c r="B81" s="5109" t="s">
        <v>279</v>
      </c>
      <c r="C81" s="5111" t="s">
        <v>280</v>
      </c>
      <c r="D81" s="357" t="s">
        <v>313</v>
      </c>
      <c r="E81" s="358">
        <f>SUM(E82:E83)</f>
        <v>0</v>
      </c>
      <c r="F81" s="358">
        <f>SUM(F82:F83)</f>
        <v>13988</v>
      </c>
      <c r="G81" s="359">
        <f t="shared" ref="G81" si="49">SUM(H81,N81)</f>
        <v>13690.21</v>
      </c>
      <c r="H81" s="359">
        <f t="shared" ref="H81" si="50">SUM(I81,L81,M81)</f>
        <v>13690.21</v>
      </c>
      <c r="I81" s="359">
        <f t="shared" ref="I81" si="51">SUM(J81:K81)</f>
        <v>13690.21</v>
      </c>
      <c r="J81" s="359">
        <v>0</v>
      </c>
      <c r="K81" s="359">
        <f>SUM(K82:K83)</f>
        <v>13690.21</v>
      </c>
      <c r="L81" s="359">
        <v>0</v>
      </c>
      <c r="M81" s="359">
        <v>0</v>
      </c>
      <c r="N81" s="360">
        <v>0</v>
      </c>
      <c r="O81" s="361">
        <f t="shared" ref="O81:O83" si="52">SUM(G81/F81)</f>
        <v>0.97871103803259929</v>
      </c>
      <c r="P81" s="356"/>
    </row>
    <row r="82" spans="1:16" ht="19.5" customHeight="1">
      <c r="A82" s="5075"/>
      <c r="B82" s="5110"/>
      <c r="C82" s="5112"/>
      <c r="D82" s="362" t="s">
        <v>329</v>
      </c>
      <c r="E82" s="363"/>
      <c r="F82" s="363">
        <v>13850</v>
      </c>
      <c r="G82" s="325">
        <f>H82+N82</f>
        <v>13690.21</v>
      </c>
      <c r="H82" s="325">
        <f>I82+L82+M82</f>
        <v>13690.21</v>
      </c>
      <c r="I82" s="325">
        <f>J82+K82</f>
        <v>13690.21</v>
      </c>
      <c r="J82" s="325"/>
      <c r="K82" s="325">
        <v>13690.21</v>
      </c>
      <c r="L82" s="380"/>
      <c r="M82" s="380"/>
      <c r="N82" s="381"/>
      <c r="O82" s="365">
        <f t="shared" si="52"/>
        <v>0.98846281588447649</v>
      </c>
    </row>
    <row r="83" spans="1:16" ht="19.5" customHeight="1">
      <c r="A83" s="5066"/>
      <c r="B83" s="5113"/>
      <c r="C83" s="5114"/>
      <c r="D83" s="362" t="s">
        <v>23</v>
      </c>
      <c r="E83" s="363"/>
      <c r="F83" s="363">
        <v>138</v>
      </c>
      <c r="G83" s="325"/>
      <c r="H83" s="325"/>
      <c r="I83" s="325"/>
      <c r="J83" s="325"/>
      <c r="K83" s="325"/>
      <c r="L83" s="380"/>
      <c r="M83" s="380"/>
      <c r="N83" s="381"/>
      <c r="O83" s="365">
        <f t="shared" si="52"/>
        <v>0</v>
      </c>
    </row>
    <row r="84" spans="1:16" ht="27.75" customHeight="1">
      <c r="A84" s="5074" t="s">
        <v>40</v>
      </c>
      <c r="B84" s="5117" t="s">
        <v>41</v>
      </c>
      <c r="C84" s="5117"/>
      <c r="D84" s="382"/>
      <c r="E84" s="383">
        <f t="shared" ref="E84:I84" si="53">E87+E94+E85+E89</f>
        <v>55000</v>
      </c>
      <c r="F84" s="383">
        <f t="shared" si="53"/>
        <v>15634348</v>
      </c>
      <c r="G84" s="383">
        <f t="shared" si="53"/>
        <v>14885325.51</v>
      </c>
      <c r="H84" s="383">
        <f t="shared" si="53"/>
        <v>13965325.51</v>
      </c>
      <c r="I84" s="383">
        <f t="shared" si="53"/>
        <v>13965325.51</v>
      </c>
      <c r="J84" s="383">
        <f>J87+J94+J85+J89</f>
        <v>83108</v>
      </c>
      <c r="K84" s="383">
        <f t="shared" ref="K84:N84" si="54">K87+K94+K85+K89</f>
        <v>13882217.51</v>
      </c>
      <c r="L84" s="383">
        <f t="shared" si="54"/>
        <v>0</v>
      </c>
      <c r="M84" s="383">
        <f t="shared" si="54"/>
        <v>0</v>
      </c>
      <c r="N84" s="383">
        <f t="shared" si="54"/>
        <v>920000</v>
      </c>
      <c r="O84" s="384">
        <f t="shared" si="48"/>
        <v>0.95209122311976169</v>
      </c>
    </row>
    <row r="85" spans="1:16" ht="21.75" customHeight="1">
      <c r="A85" s="5075"/>
      <c r="B85" s="5109" t="s">
        <v>183</v>
      </c>
      <c r="C85" s="5111" t="s">
        <v>184</v>
      </c>
      <c r="D85" s="357" t="s">
        <v>313</v>
      </c>
      <c r="E85" s="358">
        <f>SUM(E86)</f>
        <v>0</v>
      </c>
      <c r="F85" s="358">
        <f>SUM(F86)</f>
        <v>920000</v>
      </c>
      <c r="G85" s="359">
        <f>SUM(H85,N85)</f>
        <v>920000</v>
      </c>
      <c r="H85" s="359">
        <v>0</v>
      </c>
      <c r="I85" s="359">
        <v>0</v>
      </c>
      <c r="J85" s="359">
        <v>0</v>
      </c>
      <c r="K85" s="359">
        <v>0</v>
      </c>
      <c r="L85" s="359">
        <v>0</v>
      </c>
      <c r="M85" s="359">
        <v>0</v>
      </c>
      <c r="N85" s="360">
        <f>SUM(N86)</f>
        <v>920000</v>
      </c>
      <c r="O85" s="361">
        <f t="shared" si="48"/>
        <v>1</v>
      </c>
      <c r="P85" s="356"/>
    </row>
    <row r="86" spans="1:16" ht="12.75">
      <c r="A86" s="5075"/>
      <c r="B86" s="5110"/>
      <c r="C86" s="5112"/>
      <c r="D86" s="362" t="s">
        <v>112</v>
      </c>
      <c r="E86" s="363"/>
      <c r="F86" s="363">
        <v>920000</v>
      </c>
      <c r="G86" s="325">
        <f>H86+N86</f>
        <v>920000</v>
      </c>
      <c r="H86" s="325"/>
      <c r="I86" s="325"/>
      <c r="J86" s="325"/>
      <c r="K86" s="325"/>
      <c r="L86" s="380"/>
      <c r="M86" s="380"/>
      <c r="N86" s="364">
        <v>920000</v>
      </c>
      <c r="O86" s="365">
        <f t="shared" si="48"/>
        <v>1</v>
      </c>
    </row>
    <row r="87" spans="1:16" ht="36" customHeight="1">
      <c r="A87" s="5075"/>
      <c r="B87" s="5109" t="s">
        <v>281</v>
      </c>
      <c r="C87" s="5111" t="s">
        <v>282</v>
      </c>
      <c r="D87" s="357" t="s">
        <v>313</v>
      </c>
      <c r="E87" s="358">
        <f>SUM(E88:E88)</f>
        <v>25000</v>
      </c>
      <c r="F87" s="358">
        <f>SUM(F88)</f>
        <v>11610</v>
      </c>
      <c r="G87" s="359">
        <f t="shared" ref="G87:G94" si="55">SUM(H87,N87)</f>
        <v>11048.4</v>
      </c>
      <c r="H87" s="359">
        <f t="shared" ref="H87:H94" si="56">SUM(I87,L87,M87)</f>
        <v>11048.4</v>
      </c>
      <c r="I87" s="359">
        <f t="shared" ref="I87:I94" si="57">SUM(J87:K87)</f>
        <v>11048.4</v>
      </c>
      <c r="J87" s="359">
        <v>0</v>
      </c>
      <c r="K87" s="359">
        <f>SUM(K88)</f>
        <v>11048.4</v>
      </c>
      <c r="L87" s="359">
        <v>0</v>
      </c>
      <c r="M87" s="359">
        <v>0</v>
      </c>
      <c r="N87" s="360">
        <v>0</v>
      </c>
      <c r="O87" s="361">
        <f t="shared" si="48"/>
        <v>0.95162790697674415</v>
      </c>
      <c r="P87" s="356"/>
    </row>
    <row r="88" spans="1:16" ht="24.75" customHeight="1">
      <c r="A88" s="5075"/>
      <c r="B88" s="5113"/>
      <c r="C88" s="5114"/>
      <c r="D88" s="362" t="s">
        <v>330</v>
      </c>
      <c r="E88" s="363">
        <v>25000</v>
      </c>
      <c r="F88" s="363">
        <v>11610</v>
      </c>
      <c r="G88" s="325">
        <f>H88+N88</f>
        <v>11048.4</v>
      </c>
      <c r="H88" s="325">
        <f>I88+L88+M88</f>
        <v>11048.4</v>
      </c>
      <c r="I88" s="325">
        <f>J88+K88</f>
        <v>11048.4</v>
      </c>
      <c r="J88" s="325"/>
      <c r="K88" s="325">
        <v>11048.4</v>
      </c>
      <c r="L88" s="380"/>
      <c r="M88" s="380"/>
      <c r="N88" s="381"/>
      <c r="O88" s="365">
        <f t="shared" si="48"/>
        <v>0.95162790697674415</v>
      </c>
    </row>
    <row r="89" spans="1:16" ht="22.5" customHeight="1">
      <c r="A89" s="5075"/>
      <c r="B89" s="5109" t="s">
        <v>283</v>
      </c>
      <c r="C89" s="5111" t="s">
        <v>284</v>
      </c>
      <c r="D89" s="389" t="s">
        <v>313</v>
      </c>
      <c r="E89" s="370">
        <f>SUM(E90:E93)</f>
        <v>0</v>
      </c>
      <c r="F89" s="370">
        <f>SUM(F90:F93)</f>
        <v>14653338</v>
      </c>
      <c r="G89" s="371">
        <f t="shared" ref="G89" si="58">SUM(H89,N89)</f>
        <v>13905656.619999999</v>
      </c>
      <c r="H89" s="371">
        <f t="shared" ref="H89" si="59">SUM(I89,L89,M89)</f>
        <v>13905656.619999999</v>
      </c>
      <c r="I89" s="371">
        <f t="shared" ref="I89" si="60">SUM(J89:K89)</f>
        <v>13905656.619999999</v>
      </c>
      <c r="J89" s="371">
        <f>SUM(J90:J93)</f>
        <v>48708</v>
      </c>
      <c r="K89" s="371">
        <f>SUM(K90:K93)</f>
        <v>13856948.619999999</v>
      </c>
      <c r="L89" s="371">
        <f>SUM(L90:L93)</f>
        <v>0</v>
      </c>
      <c r="M89" s="371">
        <v>0</v>
      </c>
      <c r="N89" s="372">
        <f>SUM(N90:N93)</f>
        <v>0</v>
      </c>
      <c r="O89" s="361">
        <f t="shared" si="48"/>
        <v>0.948975354284464</v>
      </c>
    </row>
    <row r="90" spans="1:16" ht="12.75">
      <c r="A90" s="5075"/>
      <c r="B90" s="5110"/>
      <c r="C90" s="5112"/>
      <c r="D90" s="366" t="s">
        <v>61</v>
      </c>
      <c r="E90" s="367"/>
      <c r="F90" s="367">
        <v>40712</v>
      </c>
      <c r="G90" s="368">
        <f>H90+N90</f>
        <v>40712</v>
      </c>
      <c r="H90" s="368">
        <f>I90+L90+M90</f>
        <v>40712</v>
      </c>
      <c r="I90" s="368">
        <f>J90+K90</f>
        <v>40712</v>
      </c>
      <c r="J90" s="368">
        <v>40712</v>
      </c>
      <c r="K90" s="368"/>
      <c r="L90" s="368"/>
      <c r="M90" s="368"/>
      <c r="N90" s="369"/>
      <c r="O90" s="365">
        <f t="shared" si="48"/>
        <v>1</v>
      </c>
    </row>
    <row r="91" spans="1:16" ht="12.75">
      <c r="A91" s="5075"/>
      <c r="B91" s="5110"/>
      <c r="C91" s="5112"/>
      <c r="D91" s="366" t="s">
        <v>62</v>
      </c>
      <c r="E91" s="367"/>
      <c r="F91" s="367">
        <v>6998</v>
      </c>
      <c r="G91" s="368">
        <f t="shared" ref="G91:G93" si="61">H91+N91</f>
        <v>6998</v>
      </c>
      <c r="H91" s="368">
        <f t="shared" ref="H91:H93" si="62">I91+L91+M91</f>
        <v>6998</v>
      </c>
      <c r="I91" s="368">
        <f t="shared" ref="I91:I93" si="63">J91+K91</f>
        <v>6998</v>
      </c>
      <c r="J91" s="368">
        <v>6998</v>
      </c>
      <c r="K91" s="368"/>
      <c r="L91" s="368"/>
      <c r="M91" s="368"/>
      <c r="N91" s="369"/>
      <c r="O91" s="365">
        <f t="shared" si="48"/>
        <v>1</v>
      </c>
    </row>
    <row r="92" spans="1:16" ht="12.75">
      <c r="A92" s="5075"/>
      <c r="B92" s="5110"/>
      <c r="C92" s="5112"/>
      <c r="D92" s="366" t="s">
        <v>63</v>
      </c>
      <c r="E92" s="367"/>
      <c r="F92" s="367">
        <v>998</v>
      </c>
      <c r="G92" s="368">
        <f t="shared" si="61"/>
        <v>998</v>
      </c>
      <c r="H92" s="368">
        <f t="shared" si="62"/>
        <v>998</v>
      </c>
      <c r="I92" s="368">
        <f t="shared" si="63"/>
        <v>998</v>
      </c>
      <c r="J92" s="368">
        <v>998</v>
      </c>
      <c r="K92" s="368"/>
      <c r="L92" s="368"/>
      <c r="M92" s="368"/>
      <c r="N92" s="369"/>
      <c r="O92" s="365">
        <f t="shared" si="48"/>
        <v>1</v>
      </c>
    </row>
    <row r="93" spans="1:16" ht="12.75">
      <c r="A93" s="5075"/>
      <c r="B93" s="5113"/>
      <c r="C93" s="5114"/>
      <c r="D93" s="366" t="s">
        <v>331</v>
      </c>
      <c r="E93" s="367"/>
      <c r="F93" s="367">
        <v>14604630</v>
      </c>
      <c r="G93" s="368">
        <f t="shared" si="61"/>
        <v>13856948.619999999</v>
      </c>
      <c r="H93" s="368">
        <f t="shared" si="62"/>
        <v>13856948.619999999</v>
      </c>
      <c r="I93" s="368">
        <f t="shared" si="63"/>
        <v>13856948.619999999</v>
      </c>
      <c r="J93" s="368"/>
      <c r="K93" s="368">
        <v>13856948.619999999</v>
      </c>
      <c r="L93" s="368"/>
      <c r="M93" s="368"/>
      <c r="N93" s="369"/>
      <c r="O93" s="365">
        <f t="shared" si="48"/>
        <v>0.94880518164445105</v>
      </c>
    </row>
    <row r="94" spans="1:16" ht="22.5" customHeight="1">
      <c r="A94" s="5075"/>
      <c r="B94" s="5109" t="s">
        <v>285</v>
      </c>
      <c r="C94" s="5111" t="s">
        <v>95</v>
      </c>
      <c r="D94" s="389" t="s">
        <v>313</v>
      </c>
      <c r="E94" s="370">
        <f>SUM(E95:E96)</f>
        <v>30000</v>
      </c>
      <c r="F94" s="370">
        <f>SUM(F95:F96)</f>
        <v>49400</v>
      </c>
      <c r="G94" s="371">
        <f t="shared" si="55"/>
        <v>48620.49</v>
      </c>
      <c r="H94" s="371">
        <f t="shared" si="56"/>
        <v>48620.49</v>
      </c>
      <c r="I94" s="371">
        <f t="shared" si="57"/>
        <v>48620.49</v>
      </c>
      <c r="J94" s="371">
        <f>SUM(J95:J96)</f>
        <v>34400</v>
      </c>
      <c r="K94" s="371">
        <f>SUM(K95:K96)</f>
        <v>14220.49</v>
      </c>
      <c r="L94" s="371">
        <v>0</v>
      </c>
      <c r="M94" s="371">
        <v>0</v>
      </c>
      <c r="N94" s="372">
        <v>0</v>
      </c>
      <c r="O94" s="361">
        <f t="shared" si="48"/>
        <v>0.98422044534412956</v>
      </c>
    </row>
    <row r="95" spans="1:16" ht="12.75">
      <c r="A95" s="5075"/>
      <c r="B95" s="5110"/>
      <c r="C95" s="5112"/>
      <c r="D95" s="366" t="s">
        <v>324</v>
      </c>
      <c r="E95" s="367">
        <v>27200</v>
      </c>
      <c r="F95" s="367">
        <v>34400</v>
      </c>
      <c r="G95" s="368">
        <f>H95+N95</f>
        <v>34400</v>
      </c>
      <c r="H95" s="368">
        <f>I95+L95+M95</f>
        <v>34400</v>
      </c>
      <c r="I95" s="368">
        <f>J95+K95</f>
        <v>34400</v>
      </c>
      <c r="J95" s="368">
        <v>34400</v>
      </c>
      <c r="K95" s="368"/>
      <c r="L95" s="374"/>
      <c r="M95" s="374"/>
      <c r="N95" s="375"/>
      <c r="O95" s="365">
        <f t="shared" si="48"/>
        <v>1</v>
      </c>
    </row>
    <row r="96" spans="1:16" ht="12.75">
      <c r="A96" s="5066"/>
      <c r="B96" s="5113"/>
      <c r="C96" s="5114"/>
      <c r="D96" s="366" t="s">
        <v>23</v>
      </c>
      <c r="E96" s="367">
        <v>2800</v>
      </c>
      <c r="F96" s="367">
        <v>15000</v>
      </c>
      <c r="G96" s="368">
        <f>H96+N96</f>
        <v>14220.49</v>
      </c>
      <c r="H96" s="368">
        <f>I96+L96+M96</f>
        <v>14220.49</v>
      </c>
      <c r="I96" s="368">
        <f>J96+K96</f>
        <v>14220.49</v>
      </c>
      <c r="J96" s="368"/>
      <c r="K96" s="368">
        <v>14220.49</v>
      </c>
      <c r="L96" s="374"/>
      <c r="M96" s="374"/>
      <c r="N96" s="375"/>
      <c r="O96" s="365">
        <f t="shared" si="48"/>
        <v>0.94803266666666663</v>
      </c>
    </row>
    <row r="97" spans="1:16" ht="29.25" customHeight="1">
      <c r="A97" s="5074" t="s">
        <v>157</v>
      </c>
      <c r="B97" s="5123" t="s">
        <v>158</v>
      </c>
      <c r="C97" s="5124"/>
      <c r="D97" s="382"/>
      <c r="E97" s="383">
        <f>SUM(E98)</f>
        <v>1000</v>
      </c>
      <c r="F97" s="383">
        <f>F98</f>
        <v>1000</v>
      </c>
      <c r="G97" s="383">
        <f t="shared" ref="G97:L97" si="64">SUM(G98)</f>
        <v>0</v>
      </c>
      <c r="H97" s="383">
        <f t="shared" si="64"/>
        <v>0</v>
      </c>
      <c r="I97" s="383">
        <f t="shared" si="64"/>
        <v>0</v>
      </c>
      <c r="J97" s="383">
        <f t="shared" si="64"/>
        <v>0</v>
      </c>
      <c r="K97" s="383">
        <f t="shared" si="64"/>
        <v>0</v>
      </c>
      <c r="L97" s="383">
        <f t="shared" si="64"/>
        <v>0</v>
      </c>
      <c r="M97" s="383">
        <f>SUM(M98)</f>
        <v>0</v>
      </c>
      <c r="N97" s="396">
        <v>0</v>
      </c>
      <c r="O97" s="384">
        <f t="shared" si="48"/>
        <v>0</v>
      </c>
    </row>
    <row r="98" spans="1:16" ht="28.5" customHeight="1">
      <c r="A98" s="5075"/>
      <c r="B98" s="5109" t="s">
        <v>286</v>
      </c>
      <c r="C98" s="5111" t="s">
        <v>287</v>
      </c>
      <c r="D98" s="357" t="s">
        <v>313</v>
      </c>
      <c r="E98" s="358">
        <f>SUM(E99:E101)</f>
        <v>1000</v>
      </c>
      <c r="F98" s="358">
        <f>SUM(F99:F101)</f>
        <v>1000</v>
      </c>
      <c r="G98" s="359">
        <f t="shared" ref="G98:L98" si="65">SUM(G99:G101)</f>
        <v>0</v>
      </c>
      <c r="H98" s="359">
        <f t="shared" si="65"/>
        <v>0</v>
      </c>
      <c r="I98" s="359">
        <f t="shared" si="65"/>
        <v>0</v>
      </c>
      <c r="J98" s="359">
        <f t="shared" si="65"/>
        <v>0</v>
      </c>
      <c r="K98" s="359">
        <f t="shared" si="65"/>
        <v>0</v>
      </c>
      <c r="L98" s="359">
        <f t="shared" si="65"/>
        <v>0</v>
      </c>
      <c r="M98" s="359">
        <f>SUM(M99:M101)</f>
        <v>0</v>
      </c>
      <c r="N98" s="360">
        <v>0</v>
      </c>
      <c r="O98" s="376">
        <f t="shared" si="48"/>
        <v>0</v>
      </c>
      <c r="P98" s="356"/>
    </row>
    <row r="99" spans="1:16" ht="12.75">
      <c r="A99" s="5075"/>
      <c r="B99" s="5110"/>
      <c r="C99" s="5112"/>
      <c r="D99" s="362" t="s">
        <v>325</v>
      </c>
      <c r="E99" s="363">
        <v>130</v>
      </c>
      <c r="F99" s="363">
        <v>130</v>
      </c>
      <c r="G99" s="325"/>
      <c r="H99" s="325"/>
      <c r="I99" s="325"/>
      <c r="J99" s="325"/>
      <c r="K99" s="325"/>
      <c r="L99" s="325"/>
      <c r="M99" s="325"/>
      <c r="N99" s="381"/>
      <c r="O99" s="379">
        <f t="shared" si="48"/>
        <v>0</v>
      </c>
    </row>
    <row r="100" spans="1:16" ht="12.75">
      <c r="A100" s="5075"/>
      <c r="B100" s="5110"/>
      <c r="C100" s="5112"/>
      <c r="D100" s="362" t="s">
        <v>324</v>
      </c>
      <c r="E100" s="363">
        <v>620</v>
      </c>
      <c r="F100" s="363">
        <v>620</v>
      </c>
      <c r="G100" s="325"/>
      <c r="H100" s="325"/>
      <c r="I100" s="325"/>
      <c r="J100" s="325"/>
      <c r="K100" s="380"/>
      <c r="L100" s="380"/>
      <c r="M100" s="380"/>
      <c r="N100" s="381"/>
      <c r="O100" s="379">
        <f t="shared" si="48"/>
        <v>0</v>
      </c>
    </row>
    <row r="101" spans="1:16" ht="12.75">
      <c r="A101" s="5075"/>
      <c r="B101" s="5110"/>
      <c r="C101" s="5112"/>
      <c r="D101" s="390" t="s">
        <v>22</v>
      </c>
      <c r="E101" s="391">
        <v>250</v>
      </c>
      <c r="F101" s="391">
        <v>250</v>
      </c>
      <c r="G101" s="336"/>
      <c r="H101" s="336"/>
      <c r="I101" s="336"/>
      <c r="J101" s="392"/>
      <c r="K101" s="392"/>
      <c r="L101" s="392"/>
      <c r="M101" s="392"/>
      <c r="N101" s="393"/>
      <c r="O101" s="379">
        <f t="shared" si="48"/>
        <v>0</v>
      </c>
    </row>
    <row r="102" spans="1:16" ht="27" customHeight="1">
      <c r="A102" s="5074" t="s">
        <v>101</v>
      </c>
      <c r="B102" s="5117" t="s">
        <v>102</v>
      </c>
      <c r="C102" s="5117"/>
      <c r="D102" s="382"/>
      <c r="E102" s="383">
        <f>SUM(E103)</f>
        <v>883000</v>
      </c>
      <c r="F102" s="383">
        <f>SUM(F103)</f>
        <v>1592846</v>
      </c>
      <c r="G102" s="383">
        <f>H102+N102</f>
        <v>1589051.3900000001</v>
      </c>
      <c r="H102" s="383">
        <f>I102+L102+M102</f>
        <v>1589051.3900000001</v>
      </c>
      <c r="I102" s="383">
        <f>J102+K102</f>
        <v>1587005.62</v>
      </c>
      <c r="J102" s="383">
        <f>SUM(J103)</f>
        <v>1396689.75</v>
      </c>
      <c r="K102" s="383">
        <f>SUM(K103)</f>
        <v>190315.87</v>
      </c>
      <c r="L102" s="383">
        <v>0</v>
      </c>
      <c r="M102" s="383">
        <f>SUM(M103)</f>
        <v>2045.77</v>
      </c>
      <c r="N102" s="383">
        <v>0</v>
      </c>
      <c r="O102" s="384">
        <f t="shared" si="48"/>
        <v>0.99761771696698875</v>
      </c>
    </row>
    <row r="103" spans="1:16" ht="29.25" customHeight="1">
      <c r="A103" s="5075"/>
      <c r="B103" s="5126" t="s">
        <v>288</v>
      </c>
      <c r="C103" s="5111" t="s">
        <v>289</v>
      </c>
      <c r="D103" s="357" t="s">
        <v>313</v>
      </c>
      <c r="E103" s="358">
        <f>SUM(E104:E125)</f>
        <v>883000</v>
      </c>
      <c r="F103" s="358">
        <f>SUM(F104:F125)</f>
        <v>1592846</v>
      </c>
      <c r="G103" s="359">
        <f>SUM(H103,N103)</f>
        <v>1589051.3900000001</v>
      </c>
      <c r="H103" s="359">
        <f>SUM(I103,L103,M103)</f>
        <v>1589051.3900000001</v>
      </c>
      <c r="I103" s="359">
        <f>SUM(J103:K103)</f>
        <v>1587005.62</v>
      </c>
      <c r="J103" s="359">
        <f>SUM(J104:J125)</f>
        <v>1396689.75</v>
      </c>
      <c r="K103" s="359">
        <f>SUM(K104:K125)</f>
        <v>190315.87</v>
      </c>
      <c r="L103" s="359">
        <v>0</v>
      </c>
      <c r="M103" s="359">
        <f>SUM(M104:M125)</f>
        <v>2045.77</v>
      </c>
      <c r="N103" s="360">
        <v>0</v>
      </c>
      <c r="O103" s="376">
        <f t="shared" si="48"/>
        <v>0.99761771696698875</v>
      </c>
      <c r="P103" s="356"/>
    </row>
    <row r="104" spans="1:16" ht="12.75">
      <c r="A104" s="5075"/>
      <c r="B104" s="5127"/>
      <c r="C104" s="5112"/>
      <c r="D104" s="362" t="s">
        <v>314</v>
      </c>
      <c r="E104" s="363">
        <v>3663</v>
      </c>
      <c r="F104" s="363">
        <v>2074</v>
      </c>
      <c r="G104" s="325">
        <f>H104+N104</f>
        <v>2045.77</v>
      </c>
      <c r="H104" s="325">
        <f>I104+L104+M104</f>
        <v>2045.77</v>
      </c>
      <c r="I104" s="325"/>
      <c r="J104" s="325"/>
      <c r="K104" s="325"/>
      <c r="L104" s="325"/>
      <c r="M104" s="325">
        <v>2045.77</v>
      </c>
      <c r="N104" s="381"/>
      <c r="O104" s="379">
        <f t="shared" si="48"/>
        <v>0.98638862102217939</v>
      </c>
    </row>
    <row r="105" spans="1:16" ht="12.75">
      <c r="A105" s="5075"/>
      <c r="B105" s="5127"/>
      <c r="C105" s="5112"/>
      <c r="D105" s="362" t="s">
        <v>61</v>
      </c>
      <c r="E105" s="363">
        <v>502691</v>
      </c>
      <c r="F105" s="363">
        <v>1093393</v>
      </c>
      <c r="G105" s="325">
        <f t="shared" ref="G105:G125" si="66">H105+N105</f>
        <v>1093393</v>
      </c>
      <c r="H105" s="325">
        <f t="shared" ref="H105:H125" si="67">I105+L105+M105</f>
        <v>1093393</v>
      </c>
      <c r="I105" s="325">
        <f t="shared" ref="I105:I125" si="68">J105+K105</f>
        <v>1093393</v>
      </c>
      <c r="J105" s="325">
        <v>1093393</v>
      </c>
      <c r="K105" s="325"/>
      <c r="L105" s="325"/>
      <c r="M105" s="325"/>
      <c r="N105" s="381"/>
      <c r="O105" s="379">
        <f t="shared" si="48"/>
        <v>1</v>
      </c>
    </row>
    <row r="106" spans="1:16" ht="12.75">
      <c r="A106" s="5075"/>
      <c r="B106" s="5127"/>
      <c r="C106" s="5112"/>
      <c r="D106" s="362" t="s">
        <v>315</v>
      </c>
      <c r="E106" s="363">
        <v>86509</v>
      </c>
      <c r="F106" s="363">
        <v>81985</v>
      </c>
      <c r="G106" s="325">
        <f t="shared" si="66"/>
        <v>81984.45</v>
      </c>
      <c r="H106" s="325">
        <f t="shared" si="67"/>
        <v>81984.45</v>
      </c>
      <c r="I106" s="325">
        <f t="shared" si="68"/>
        <v>81984.45</v>
      </c>
      <c r="J106" s="325">
        <v>81984.45</v>
      </c>
      <c r="K106" s="325"/>
      <c r="L106" s="325"/>
      <c r="M106" s="325"/>
      <c r="N106" s="381"/>
      <c r="O106" s="379">
        <f t="shared" si="48"/>
        <v>0.99999329145575411</v>
      </c>
    </row>
    <row r="107" spans="1:16" ht="12.75">
      <c r="A107" s="5075"/>
      <c r="B107" s="5127"/>
      <c r="C107" s="5112"/>
      <c r="D107" s="362" t="s">
        <v>62</v>
      </c>
      <c r="E107" s="363">
        <v>99752</v>
      </c>
      <c r="F107" s="363">
        <v>195010</v>
      </c>
      <c r="G107" s="325">
        <f t="shared" si="66"/>
        <v>194073.08</v>
      </c>
      <c r="H107" s="325">
        <f t="shared" si="67"/>
        <v>194073.08</v>
      </c>
      <c r="I107" s="325">
        <f t="shared" si="68"/>
        <v>194073.08</v>
      </c>
      <c r="J107" s="325">
        <v>194073.08</v>
      </c>
      <c r="K107" s="325"/>
      <c r="L107" s="325"/>
      <c r="M107" s="325"/>
      <c r="N107" s="381"/>
      <c r="O107" s="379">
        <f t="shared" si="48"/>
        <v>0.99519552843443915</v>
      </c>
    </row>
    <row r="108" spans="1:16" ht="12.75">
      <c r="A108" s="5075"/>
      <c r="B108" s="5127"/>
      <c r="C108" s="5112"/>
      <c r="D108" s="362" t="s">
        <v>63</v>
      </c>
      <c r="E108" s="363">
        <v>14012</v>
      </c>
      <c r="F108" s="363">
        <v>25788</v>
      </c>
      <c r="G108" s="325">
        <f t="shared" si="66"/>
        <v>24710.25</v>
      </c>
      <c r="H108" s="325">
        <f t="shared" si="67"/>
        <v>24710.25</v>
      </c>
      <c r="I108" s="325">
        <f t="shared" si="68"/>
        <v>24710.25</v>
      </c>
      <c r="J108" s="325">
        <v>24710.25</v>
      </c>
      <c r="K108" s="325"/>
      <c r="L108" s="325"/>
      <c r="M108" s="325"/>
      <c r="N108" s="381"/>
      <c r="O108" s="379">
        <f t="shared" si="48"/>
        <v>0.95820730572359236</v>
      </c>
    </row>
    <row r="109" spans="1:16" ht="12.75">
      <c r="A109" s="5075"/>
      <c r="B109" s="5127"/>
      <c r="C109" s="5112"/>
      <c r="D109" s="362" t="s">
        <v>332</v>
      </c>
      <c r="E109" s="363">
        <v>3386</v>
      </c>
      <c r="F109" s="363">
        <v>1512</v>
      </c>
      <c r="G109" s="325">
        <f t="shared" si="66"/>
        <v>1511.44</v>
      </c>
      <c r="H109" s="325">
        <f t="shared" si="67"/>
        <v>1511.44</v>
      </c>
      <c r="I109" s="325">
        <f t="shared" si="68"/>
        <v>1511.44</v>
      </c>
      <c r="J109" s="325"/>
      <c r="K109" s="325">
        <v>1511.44</v>
      </c>
      <c r="L109" s="325"/>
      <c r="M109" s="325"/>
      <c r="N109" s="381"/>
      <c r="O109" s="379">
        <f t="shared" si="48"/>
        <v>0.99962962962962965</v>
      </c>
    </row>
    <row r="110" spans="1:16" ht="12.75">
      <c r="A110" s="5075"/>
      <c r="B110" s="5127"/>
      <c r="C110" s="5112"/>
      <c r="D110" s="362" t="s">
        <v>324</v>
      </c>
      <c r="E110" s="363">
        <v>1000</v>
      </c>
      <c r="F110" s="363"/>
      <c r="G110" s="325"/>
      <c r="H110" s="325"/>
      <c r="I110" s="325"/>
      <c r="J110" s="325"/>
      <c r="K110" s="325"/>
      <c r="L110" s="325"/>
      <c r="M110" s="325"/>
      <c r="N110" s="381"/>
      <c r="O110" s="379"/>
    </row>
    <row r="111" spans="1:16" ht="12.75">
      <c r="A111" s="5075"/>
      <c r="B111" s="5127"/>
      <c r="C111" s="5112"/>
      <c r="D111" s="362" t="s">
        <v>22</v>
      </c>
      <c r="E111" s="363">
        <v>23086</v>
      </c>
      <c r="F111" s="363">
        <v>51628</v>
      </c>
      <c r="G111" s="325">
        <f t="shared" si="66"/>
        <v>50425.52</v>
      </c>
      <c r="H111" s="325">
        <f t="shared" si="67"/>
        <v>50425.52</v>
      </c>
      <c r="I111" s="325">
        <f t="shared" si="68"/>
        <v>50425.52</v>
      </c>
      <c r="J111" s="325"/>
      <c r="K111" s="325">
        <v>50425.52</v>
      </c>
      <c r="L111" s="325"/>
      <c r="M111" s="325"/>
      <c r="N111" s="381"/>
      <c r="O111" s="379">
        <f t="shared" si="48"/>
        <v>0.97670876268691398</v>
      </c>
    </row>
    <row r="112" spans="1:16" ht="12.75">
      <c r="A112" s="5075"/>
      <c r="B112" s="5127"/>
      <c r="C112" s="5112"/>
      <c r="D112" s="362" t="s">
        <v>326</v>
      </c>
      <c r="E112" s="363">
        <v>2500</v>
      </c>
      <c r="F112" s="363">
        <v>2500</v>
      </c>
      <c r="G112" s="325">
        <f t="shared" si="66"/>
        <v>2474.23</v>
      </c>
      <c r="H112" s="325">
        <f t="shared" si="67"/>
        <v>2474.23</v>
      </c>
      <c r="I112" s="325">
        <f t="shared" si="68"/>
        <v>2474.23</v>
      </c>
      <c r="J112" s="325"/>
      <c r="K112" s="325">
        <v>2474.23</v>
      </c>
      <c r="L112" s="325"/>
      <c r="M112" s="325"/>
      <c r="N112" s="381"/>
      <c r="O112" s="379">
        <f t="shared" si="48"/>
        <v>0.98969200000000002</v>
      </c>
    </row>
    <row r="113" spans="1:15" ht="12.75">
      <c r="A113" s="5075"/>
      <c r="B113" s="5127"/>
      <c r="C113" s="5112"/>
      <c r="D113" s="362" t="s">
        <v>329</v>
      </c>
      <c r="E113" s="363"/>
      <c r="F113" s="363">
        <v>4000</v>
      </c>
      <c r="G113" s="325">
        <f t="shared" si="66"/>
        <v>3948.12</v>
      </c>
      <c r="H113" s="325">
        <f t="shared" si="67"/>
        <v>3948.12</v>
      </c>
      <c r="I113" s="325">
        <f t="shared" si="68"/>
        <v>3948.12</v>
      </c>
      <c r="J113" s="325"/>
      <c r="K113" s="325">
        <v>3948.12</v>
      </c>
      <c r="L113" s="325"/>
      <c r="M113" s="325"/>
      <c r="N113" s="381"/>
      <c r="O113" s="379">
        <f t="shared" si="48"/>
        <v>0.98702999999999996</v>
      </c>
    </row>
    <row r="114" spans="1:15" ht="12.75">
      <c r="A114" s="5075"/>
      <c r="B114" s="5127"/>
      <c r="C114" s="5112"/>
      <c r="D114" s="362" t="s">
        <v>316</v>
      </c>
      <c r="E114" s="363">
        <v>20050</v>
      </c>
      <c r="F114" s="363">
        <v>22962</v>
      </c>
      <c r="G114" s="325">
        <f t="shared" si="66"/>
        <v>22960.98</v>
      </c>
      <c r="H114" s="325">
        <f t="shared" si="67"/>
        <v>22960.98</v>
      </c>
      <c r="I114" s="325">
        <f t="shared" si="68"/>
        <v>22960.98</v>
      </c>
      <c r="J114" s="325"/>
      <c r="K114" s="325">
        <v>22960.98</v>
      </c>
      <c r="L114" s="325"/>
      <c r="M114" s="325"/>
      <c r="N114" s="381"/>
      <c r="O114" s="379">
        <f t="shared" si="48"/>
        <v>0.99995557878233599</v>
      </c>
    </row>
    <row r="115" spans="1:15" ht="12.75">
      <c r="A115" s="5075"/>
      <c r="B115" s="5127"/>
      <c r="C115" s="5112"/>
      <c r="D115" s="362" t="s">
        <v>87</v>
      </c>
      <c r="E115" s="363">
        <v>7168</v>
      </c>
      <c r="F115" s="363">
        <v>3925</v>
      </c>
      <c r="G115" s="325">
        <f t="shared" si="66"/>
        <v>3801.95</v>
      </c>
      <c r="H115" s="325">
        <f t="shared" si="67"/>
        <v>3801.95</v>
      </c>
      <c r="I115" s="325">
        <f t="shared" si="68"/>
        <v>3801.95</v>
      </c>
      <c r="J115" s="325"/>
      <c r="K115" s="325">
        <v>3801.95</v>
      </c>
      <c r="L115" s="325"/>
      <c r="M115" s="325"/>
      <c r="N115" s="381"/>
      <c r="O115" s="379">
        <f t="shared" si="48"/>
        <v>0.96864968152866238</v>
      </c>
    </row>
    <row r="116" spans="1:15" ht="12.75">
      <c r="A116" s="5075"/>
      <c r="B116" s="5127"/>
      <c r="C116" s="5112"/>
      <c r="D116" s="362" t="s">
        <v>317</v>
      </c>
      <c r="E116" s="363">
        <v>1050</v>
      </c>
      <c r="F116" s="363">
        <v>950</v>
      </c>
      <c r="G116" s="325">
        <f t="shared" si="66"/>
        <v>874.82</v>
      </c>
      <c r="H116" s="325">
        <f t="shared" si="67"/>
        <v>874.82</v>
      </c>
      <c r="I116" s="325">
        <f t="shared" si="68"/>
        <v>874.82</v>
      </c>
      <c r="J116" s="325"/>
      <c r="K116" s="325">
        <v>874.82</v>
      </c>
      <c r="L116" s="325"/>
      <c r="M116" s="325"/>
      <c r="N116" s="381"/>
      <c r="O116" s="379">
        <f t="shared" si="48"/>
        <v>0.92086315789473694</v>
      </c>
    </row>
    <row r="117" spans="1:15" ht="12.75">
      <c r="A117" s="5075"/>
      <c r="B117" s="5127"/>
      <c r="C117" s="5112"/>
      <c r="D117" s="362" t="s">
        <v>23</v>
      </c>
      <c r="E117" s="363">
        <v>54054</v>
      </c>
      <c r="F117" s="363">
        <v>47585</v>
      </c>
      <c r="G117" s="325">
        <f t="shared" si="66"/>
        <v>47572.76</v>
      </c>
      <c r="H117" s="325">
        <f t="shared" si="67"/>
        <v>47572.76</v>
      </c>
      <c r="I117" s="325">
        <f t="shared" si="68"/>
        <v>47572.76</v>
      </c>
      <c r="J117" s="325"/>
      <c r="K117" s="325">
        <v>47572.76</v>
      </c>
      <c r="L117" s="325"/>
      <c r="M117" s="325"/>
      <c r="N117" s="381"/>
      <c r="O117" s="379">
        <f t="shared" si="48"/>
        <v>0.9997427760849007</v>
      </c>
    </row>
    <row r="118" spans="1:15" ht="12.75">
      <c r="A118" s="5075"/>
      <c r="B118" s="5127"/>
      <c r="C118" s="5112"/>
      <c r="D118" s="362" t="s">
        <v>318</v>
      </c>
      <c r="E118" s="363">
        <v>4481</v>
      </c>
      <c r="F118" s="363">
        <v>3880</v>
      </c>
      <c r="G118" s="325">
        <f t="shared" si="66"/>
        <v>3845.41</v>
      </c>
      <c r="H118" s="325">
        <f t="shared" si="67"/>
        <v>3845.41</v>
      </c>
      <c r="I118" s="325">
        <f t="shared" si="68"/>
        <v>3845.41</v>
      </c>
      <c r="J118" s="325"/>
      <c r="K118" s="325">
        <v>3845.41</v>
      </c>
      <c r="L118" s="325"/>
      <c r="M118" s="325"/>
      <c r="N118" s="381"/>
      <c r="O118" s="379">
        <f t="shared" si="48"/>
        <v>0.9910850515463917</v>
      </c>
    </row>
    <row r="119" spans="1:15" ht="12.75">
      <c r="A119" s="5075"/>
      <c r="B119" s="5127"/>
      <c r="C119" s="5112"/>
      <c r="D119" s="366" t="s">
        <v>328</v>
      </c>
      <c r="E119" s="367">
        <v>4000</v>
      </c>
      <c r="F119" s="367">
        <v>5852</v>
      </c>
      <c r="G119" s="325">
        <f t="shared" si="66"/>
        <v>5787.74</v>
      </c>
      <c r="H119" s="325">
        <f t="shared" si="67"/>
        <v>5787.74</v>
      </c>
      <c r="I119" s="325">
        <f t="shared" si="68"/>
        <v>5787.74</v>
      </c>
      <c r="J119" s="368"/>
      <c r="K119" s="368">
        <v>5787.74</v>
      </c>
      <c r="L119" s="368"/>
      <c r="M119" s="368"/>
      <c r="N119" s="375"/>
      <c r="O119" s="379">
        <f t="shared" si="48"/>
        <v>0.9890191387559808</v>
      </c>
    </row>
    <row r="120" spans="1:15" ht="12.75">
      <c r="A120" s="5075"/>
      <c r="B120" s="5127"/>
      <c r="C120" s="5112"/>
      <c r="D120" s="366" t="s">
        <v>333</v>
      </c>
      <c r="E120" s="367"/>
      <c r="F120" s="367">
        <v>2900</v>
      </c>
      <c r="G120" s="325">
        <f t="shared" si="66"/>
        <v>2893.49</v>
      </c>
      <c r="H120" s="325">
        <f t="shared" si="67"/>
        <v>2893.49</v>
      </c>
      <c r="I120" s="325">
        <f t="shared" si="68"/>
        <v>2893.49</v>
      </c>
      <c r="J120" s="368"/>
      <c r="K120" s="368">
        <v>2893.49</v>
      </c>
      <c r="L120" s="368"/>
      <c r="M120" s="368"/>
      <c r="N120" s="375"/>
      <c r="O120" s="379">
        <f t="shared" si="48"/>
        <v>0.99775517241379308</v>
      </c>
    </row>
    <row r="121" spans="1:15" ht="12.75">
      <c r="A121" s="5075"/>
      <c r="B121" s="5127"/>
      <c r="C121" s="5112"/>
      <c r="D121" s="366" t="s">
        <v>319</v>
      </c>
      <c r="E121" s="367">
        <v>27748</v>
      </c>
      <c r="F121" s="367">
        <v>28847</v>
      </c>
      <c r="G121" s="325">
        <f t="shared" si="66"/>
        <v>28819.34</v>
      </c>
      <c r="H121" s="325">
        <f t="shared" si="67"/>
        <v>28819.34</v>
      </c>
      <c r="I121" s="325">
        <f t="shared" si="68"/>
        <v>28819.34</v>
      </c>
      <c r="J121" s="368"/>
      <c r="K121" s="368">
        <v>28819.34</v>
      </c>
      <c r="L121" s="368"/>
      <c r="M121" s="368"/>
      <c r="N121" s="375"/>
      <c r="O121" s="379">
        <f t="shared" si="48"/>
        <v>0.99904114812632161</v>
      </c>
    </row>
    <row r="122" spans="1:15" ht="12.75">
      <c r="A122" s="5075"/>
      <c r="B122" s="5127"/>
      <c r="C122" s="5112"/>
      <c r="D122" s="366" t="s">
        <v>320</v>
      </c>
      <c r="E122" s="367">
        <v>3655</v>
      </c>
      <c r="F122" s="367">
        <v>3445</v>
      </c>
      <c r="G122" s="325">
        <f t="shared" si="66"/>
        <v>3444.2</v>
      </c>
      <c r="H122" s="325">
        <f t="shared" si="67"/>
        <v>3444.2</v>
      </c>
      <c r="I122" s="325">
        <f t="shared" si="68"/>
        <v>3444.2</v>
      </c>
      <c r="J122" s="368"/>
      <c r="K122" s="368">
        <v>3444.2</v>
      </c>
      <c r="L122" s="368"/>
      <c r="M122" s="368"/>
      <c r="N122" s="375"/>
      <c r="O122" s="379">
        <f t="shared" si="48"/>
        <v>0.99976777939042083</v>
      </c>
    </row>
    <row r="123" spans="1:15" ht="12.75">
      <c r="A123" s="5075"/>
      <c r="B123" s="5127"/>
      <c r="C123" s="5112"/>
      <c r="D123" s="366" t="s">
        <v>334</v>
      </c>
      <c r="E123" s="367">
        <v>3519</v>
      </c>
      <c r="F123" s="367">
        <v>3301</v>
      </c>
      <c r="G123" s="325">
        <f t="shared" si="66"/>
        <v>3300.87</v>
      </c>
      <c r="H123" s="325">
        <f t="shared" si="67"/>
        <v>3300.87</v>
      </c>
      <c r="I123" s="325">
        <f t="shared" si="68"/>
        <v>3300.87</v>
      </c>
      <c r="J123" s="368"/>
      <c r="K123" s="368">
        <v>3300.87</v>
      </c>
      <c r="L123" s="368"/>
      <c r="M123" s="368"/>
      <c r="N123" s="375"/>
      <c r="O123" s="379">
        <f t="shared" si="48"/>
        <v>0.99996061799454705</v>
      </c>
    </row>
    <row r="124" spans="1:15" ht="12.75">
      <c r="A124" s="5075"/>
      <c r="B124" s="5127"/>
      <c r="C124" s="5112"/>
      <c r="D124" s="366" t="s">
        <v>64</v>
      </c>
      <c r="E124" s="367">
        <v>3000</v>
      </c>
      <c r="F124" s="367">
        <v>8655</v>
      </c>
      <c r="G124" s="325">
        <f t="shared" si="66"/>
        <v>8655</v>
      </c>
      <c r="H124" s="325">
        <f t="shared" si="67"/>
        <v>8655</v>
      </c>
      <c r="I124" s="325">
        <f t="shared" si="68"/>
        <v>8655</v>
      </c>
      <c r="J124" s="368"/>
      <c r="K124" s="368">
        <v>8655</v>
      </c>
      <c r="L124" s="368"/>
      <c r="M124" s="368"/>
      <c r="N124" s="375"/>
      <c r="O124" s="379">
        <f t="shared" si="48"/>
        <v>1</v>
      </c>
    </row>
    <row r="125" spans="1:15" ht="13.5" thickBot="1">
      <c r="A125" s="5125"/>
      <c r="B125" s="5128"/>
      <c r="C125" s="5129"/>
      <c r="D125" s="397" t="s">
        <v>335</v>
      </c>
      <c r="E125" s="398">
        <v>17676</v>
      </c>
      <c r="F125" s="398">
        <v>2654</v>
      </c>
      <c r="G125" s="399">
        <f t="shared" si="66"/>
        <v>2528.9699999999998</v>
      </c>
      <c r="H125" s="399">
        <f t="shared" si="67"/>
        <v>2528.9699999999998</v>
      </c>
      <c r="I125" s="399">
        <f t="shared" si="68"/>
        <v>2528.9699999999998</v>
      </c>
      <c r="J125" s="400">
        <v>2528.9699999999998</v>
      </c>
      <c r="K125" s="400"/>
      <c r="L125" s="400"/>
      <c r="M125" s="400"/>
      <c r="N125" s="401"/>
      <c r="O125" s="402">
        <f t="shared" si="48"/>
        <v>0.95288997739261483</v>
      </c>
    </row>
    <row r="126" spans="1:15" ht="35.1" customHeight="1" thickBot="1">
      <c r="A126" s="5119" t="s">
        <v>177</v>
      </c>
      <c r="B126" s="5120"/>
      <c r="C126" s="5120"/>
      <c r="D126" s="403"/>
      <c r="E126" s="404">
        <f>SUM(E7,E29,E45,E53,E84,E102,E80,E97,E40,E76)</f>
        <v>55105000</v>
      </c>
      <c r="F126" s="404">
        <f>SUM(F7,F29,F45,F53,F84,F102,F80,F97,F40,F76)</f>
        <v>61351122</v>
      </c>
      <c r="G126" s="404">
        <f t="shared" ref="G126:N126" si="69">SUM(G7,G29,G40,G45,G53,G76,G80,G84,G97,G102)</f>
        <v>56497931.250000007</v>
      </c>
      <c r="H126" s="404">
        <f t="shared" si="69"/>
        <v>55577931.250000007</v>
      </c>
      <c r="I126" s="404">
        <f t="shared" si="69"/>
        <v>21240692.16</v>
      </c>
      <c r="J126" s="404">
        <f>SUM(J7,J29,J40,J45,J53,J76,J80,J84,J97,J102)</f>
        <v>2629657.94</v>
      </c>
      <c r="K126" s="404">
        <f t="shared" si="69"/>
        <v>18611034.220000003</v>
      </c>
      <c r="L126" s="404">
        <f t="shared" si="69"/>
        <v>34332761.539999999</v>
      </c>
      <c r="M126" s="404">
        <f t="shared" si="69"/>
        <v>4477.55</v>
      </c>
      <c r="N126" s="404">
        <f t="shared" si="69"/>
        <v>920000</v>
      </c>
      <c r="O126" s="405">
        <f t="shared" si="48"/>
        <v>0.92089483302359176</v>
      </c>
    </row>
    <row r="127" spans="1:15" ht="12.75">
      <c r="A127" s="406"/>
      <c r="B127" s="407"/>
      <c r="E127" s="408"/>
      <c r="F127" s="408"/>
      <c r="G127" s="408">
        <f>H127+N127</f>
        <v>56497931.25</v>
      </c>
      <c r="H127" s="408">
        <f>I127+L127+M127</f>
        <v>55577931.25</v>
      </c>
      <c r="I127" s="409">
        <f>J127+K127</f>
        <v>21240692.16</v>
      </c>
      <c r="J127" s="410">
        <f>308000+120000+50000+326000+156000+5741.37+184118.82+34400+1394160.78+2528.97+48708</f>
        <v>2629657.94</v>
      </c>
      <c r="K127" s="410">
        <f>4304298.48+124075.49+60000+6991.68+29444.98+13690.21+11048.4+14220.49+190315.87+13856948.62</f>
        <v>18611034.219999999</v>
      </c>
      <c r="L127" s="410">
        <f>34332761.54</f>
        <v>34332761.539999999</v>
      </c>
      <c r="M127" s="409">
        <f>2431.78+2045.77</f>
        <v>4477.55</v>
      </c>
      <c r="N127" s="409">
        <v>920000</v>
      </c>
      <c r="O127" s="408"/>
    </row>
    <row r="128" spans="1:15" ht="12.75">
      <c r="A128" s="406"/>
      <c r="B128" s="407"/>
      <c r="G128" s="356"/>
      <c r="H128" s="356"/>
      <c r="I128" s="356"/>
      <c r="J128" s="356"/>
      <c r="K128" s="356"/>
      <c r="L128" s="356"/>
      <c r="M128" s="356"/>
      <c r="N128" s="356"/>
    </row>
    <row r="129" spans="1:14" ht="12.75">
      <c r="A129" s="406"/>
      <c r="B129" s="407"/>
      <c r="G129" s="356"/>
      <c r="H129" s="356"/>
      <c r="I129" s="356"/>
      <c r="J129" s="356"/>
      <c r="K129" s="408"/>
      <c r="L129" s="356"/>
      <c r="M129" s="356"/>
      <c r="N129" s="356"/>
    </row>
    <row r="130" spans="1:14" ht="12.75">
      <c r="A130" s="406"/>
      <c r="B130" s="407"/>
      <c r="G130" s="356"/>
      <c r="H130" s="356"/>
      <c r="I130" s="356"/>
      <c r="J130" s="356">
        <f>J126-J127</f>
        <v>0</v>
      </c>
      <c r="K130" s="356">
        <f t="shared" ref="K130:N130" si="70">K126-K127</f>
        <v>0</v>
      </c>
      <c r="L130" s="356">
        <f t="shared" si="70"/>
        <v>0</v>
      </c>
      <c r="M130" s="356">
        <f t="shared" si="70"/>
        <v>0</v>
      </c>
      <c r="N130" s="356">
        <f t="shared" si="70"/>
        <v>0</v>
      </c>
    </row>
    <row r="131" spans="1:14" ht="12.75">
      <c r="A131" s="406"/>
      <c r="B131" s="407"/>
      <c r="G131" s="356"/>
      <c r="H131" s="356"/>
      <c r="I131" s="356"/>
      <c r="J131" s="356"/>
      <c r="K131" s="408"/>
      <c r="L131" s="356"/>
      <c r="M131" s="356"/>
      <c r="N131" s="356"/>
    </row>
    <row r="132" spans="1:14" ht="12.75">
      <c r="A132" s="5121"/>
      <c r="B132" s="5122"/>
      <c r="C132" s="5122"/>
      <c r="D132" s="5122"/>
      <c r="E132" s="5122"/>
      <c r="F132" s="5122"/>
      <c r="G132" s="5122"/>
      <c r="H132" s="5122"/>
      <c r="I132" s="5122"/>
      <c r="J132" s="5122"/>
      <c r="K132" s="5122"/>
      <c r="L132" s="5122"/>
      <c r="M132" s="5122"/>
      <c r="N132" s="5122"/>
    </row>
    <row r="133" spans="1:14" ht="12.75">
      <c r="A133" s="406"/>
      <c r="B133" s="407"/>
      <c r="H133" s="356"/>
      <c r="I133" s="356"/>
      <c r="J133" s="356"/>
      <c r="K133" s="356"/>
      <c r="L133" s="356"/>
      <c r="M133" s="356"/>
      <c r="N133" s="356"/>
    </row>
    <row r="134" spans="1:14" ht="12.75">
      <c r="A134" s="406"/>
      <c r="B134" s="407"/>
      <c r="G134" s="356"/>
      <c r="H134" s="356"/>
      <c r="I134" s="356"/>
      <c r="J134" s="356"/>
      <c r="K134" s="356"/>
      <c r="L134" s="356"/>
      <c r="M134" s="356"/>
      <c r="N134" s="356"/>
    </row>
    <row r="135" spans="1:14" ht="12.75">
      <c r="A135" s="406"/>
      <c r="B135" s="407"/>
      <c r="H135" s="356"/>
      <c r="I135" s="356"/>
      <c r="J135" s="356"/>
      <c r="K135" s="356"/>
      <c r="L135" s="356"/>
      <c r="M135" s="356"/>
      <c r="N135" s="356"/>
    </row>
    <row r="136" spans="1:14" ht="12.75">
      <c r="A136" s="406"/>
      <c r="B136" s="407"/>
      <c r="H136" s="356"/>
      <c r="I136" s="356"/>
      <c r="J136" s="356"/>
      <c r="K136" s="356"/>
      <c r="L136" s="356"/>
      <c r="M136" s="356"/>
      <c r="N136" s="356"/>
    </row>
    <row r="137" spans="1:14" ht="12.75">
      <c r="A137" s="406"/>
      <c r="B137" s="407"/>
      <c r="H137" s="356"/>
      <c r="I137" s="356"/>
      <c r="J137" s="356"/>
      <c r="K137" s="356"/>
      <c r="L137" s="356"/>
      <c r="M137" s="356"/>
      <c r="N137" s="356"/>
    </row>
    <row r="138" spans="1:14" ht="12.75">
      <c r="A138" s="406"/>
      <c r="B138" s="407"/>
      <c r="H138" s="356"/>
      <c r="I138" s="356"/>
      <c r="J138" s="356"/>
      <c r="K138" s="356"/>
      <c r="L138" s="356"/>
      <c r="M138" s="356"/>
      <c r="N138" s="356"/>
    </row>
    <row r="139" spans="1:14" ht="12.75">
      <c r="A139" s="406"/>
      <c r="B139" s="407"/>
      <c r="H139" s="356"/>
      <c r="I139" s="356"/>
      <c r="J139" s="356"/>
      <c r="K139" s="356"/>
      <c r="L139" s="356"/>
      <c r="M139" s="356"/>
      <c r="N139" s="356"/>
    </row>
    <row r="140" spans="1:14" ht="12.75">
      <c r="A140" s="411"/>
      <c r="B140" s="407"/>
      <c r="H140" s="356"/>
      <c r="I140" s="356"/>
      <c r="J140" s="356"/>
      <c r="K140" s="356"/>
      <c r="L140" s="356"/>
      <c r="M140" s="356"/>
      <c r="N140" s="356"/>
    </row>
    <row r="141" spans="1:14" ht="12.75">
      <c r="A141" s="411"/>
      <c r="B141" s="407"/>
      <c r="H141" s="356"/>
      <c r="I141" s="356"/>
      <c r="J141" s="356"/>
      <c r="K141" s="356"/>
      <c r="L141" s="356"/>
      <c r="M141" s="356"/>
      <c r="N141" s="356"/>
    </row>
    <row r="142" spans="1:14" ht="12.75">
      <c r="A142" s="411"/>
      <c r="B142" s="407"/>
      <c r="H142" s="356"/>
      <c r="I142" s="356"/>
      <c r="J142" s="356"/>
      <c r="K142" s="356"/>
      <c r="L142" s="356"/>
      <c r="M142" s="356"/>
      <c r="N142" s="356"/>
    </row>
    <row r="143" spans="1:14" ht="12.75">
      <c r="A143" s="411"/>
      <c r="B143" s="407"/>
      <c r="H143" s="356"/>
      <c r="I143" s="356"/>
      <c r="J143" s="356"/>
      <c r="K143" s="356"/>
      <c r="L143" s="356"/>
      <c r="M143" s="356"/>
      <c r="N143" s="356"/>
    </row>
    <row r="144" spans="1:14" ht="12.75">
      <c r="A144" s="411"/>
      <c r="B144" s="407"/>
      <c r="H144" s="356"/>
      <c r="I144" s="356"/>
      <c r="J144" s="356"/>
      <c r="K144" s="356"/>
      <c r="L144" s="356"/>
      <c r="M144" s="356"/>
      <c r="N144" s="356"/>
    </row>
    <row r="145" spans="1:14" ht="12.75">
      <c r="A145" s="411"/>
      <c r="B145" s="407"/>
      <c r="H145" s="356"/>
      <c r="I145" s="356"/>
      <c r="J145" s="356"/>
      <c r="K145" s="356"/>
      <c r="L145" s="356"/>
      <c r="M145" s="356"/>
      <c r="N145" s="356"/>
    </row>
    <row r="146" spans="1:14" ht="12.75">
      <c r="A146" s="411"/>
      <c r="B146" s="407"/>
      <c r="H146" s="356"/>
      <c r="I146" s="356"/>
      <c r="J146" s="356"/>
      <c r="K146" s="356"/>
      <c r="L146" s="356"/>
      <c r="M146" s="356"/>
      <c r="N146" s="356"/>
    </row>
    <row r="147" spans="1:14" ht="12.75">
      <c r="A147" s="411"/>
      <c r="B147" s="407"/>
      <c r="H147" s="356"/>
      <c r="I147" s="356"/>
      <c r="J147" s="356"/>
      <c r="K147" s="356"/>
      <c r="L147" s="356"/>
      <c r="M147" s="356"/>
      <c r="N147" s="356"/>
    </row>
    <row r="148" spans="1:14" ht="12.75">
      <c r="A148" s="411"/>
      <c r="B148" s="407"/>
      <c r="H148" s="356"/>
      <c r="I148" s="356"/>
      <c r="J148" s="356"/>
      <c r="K148" s="356"/>
      <c r="L148" s="356"/>
      <c r="M148" s="356"/>
      <c r="N148" s="356"/>
    </row>
    <row r="149" spans="1:14" ht="12.75">
      <c r="A149" s="411"/>
      <c r="B149" s="407"/>
      <c r="H149" s="356"/>
      <c r="I149" s="356"/>
      <c r="J149" s="356"/>
      <c r="K149" s="356"/>
      <c r="L149" s="356"/>
      <c r="M149" s="356"/>
      <c r="N149" s="356"/>
    </row>
    <row r="150" spans="1:14" ht="12.75">
      <c r="A150" s="411"/>
      <c r="B150" s="407"/>
      <c r="H150" s="356"/>
      <c r="I150" s="356"/>
      <c r="J150" s="356"/>
      <c r="K150" s="356"/>
      <c r="L150" s="356"/>
      <c r="M150" s="356"/>
      <c r="N150" s="356"/>
    </row>
    <row r="151" spans="1:14" ht="12.75">
      <c r="A151" s="411"/>
      <c r="B151" s="407"/>
      <c r="H151" s="356"/>
      <c r="I151" s="356"/>
      <c r="J151" s="356"/>
      <c r="K151" s="356"/>
      <c r="L151" s="356"/>
      <c r="M151" s="356"/>
      <c r="N151" s="356"/>
    </row>
    <row r="152" spans="1:14" ht="12.75">
      <c r="A152" s="411"/>
      <c r="B152" s="407"/>
      <c r="H152" s="356"/>
      <c r="I152" s="356"/>
      <c r="J152" s="356"/>
      <c r="K152" s="356"/>
      <c r="L152" s="356"/>
      <c r="M152" s="356"/>
      <c r="N152" s="356"/>
    </row>
    <row r="153" spans="1:14" ht="12.75">
      <c r="A153" s="411"/>
      <c r="B153" s="407"/>
      <c r="H153" s="356"/>
      <c r="I153" s="356"/>
      <c r="J153" s="356"/>
      <c r="K153" s="356"/>
      <c r="L153" s="356"/>
      <c r="M153" s="356"/>
      <c r="N153" s="356"/>
    </row>
    <row r="154" spans="1:14" ht="12.75">
      <c r="A154" s="411"/>
      <c r="B154" s="407"/>
      <c r="H154" s="356"/>
      <c r="I154" s="356"/>
      <c r="J154" s="356"/>
      <c r="K154" s="356"/>
      <c r="L154" s="356"/>
      <c r="M154" s="356"/>
      <c r="N154" s="356"/>
    </row>
    <row r="155" spans="1:14" ht="12.75">
      <c r="A155" s="411"/>
      <c r="B155" s="407"/>
      <c r="H155" s="356"/>
      <c r="I155" s="356"/>
      <c r="J155" s="356"/>
      <c r="K155" s="356"/>
      <c r="L155" s="356"/>
      <c r="M155" s="356"/>
      <c r="N155" s="356"/>
    </row>
    <row r="156" spans="1:14" ht="12.75">
      <c r="A156" s="411"/>
    </row>
    <row r="157" spans="1:14" ht="12.75">
      <c r="A157" s="411"/>
    </row>
    <row r="158" spans="1:14" ht="12.75">
      <c r="A158" s="411"/>
    </row>
    <row r="159" spans="1:14" ht="12.75">
      <c r="A159" s="411"/>
    </row>
    <row r="160" spans="1:14" ht="12.75">
      <c r="A160" s="411"/>
    </row>
    <row r="161" spans="1:15" s="412" customFormat="1" ht="12.75">
      <c r="A161" s="411"/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</row>
    <row r="162" spans="1:15" s="412" customFormat="1" ht="12.75">
      <c r="A162" s="411"/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</row>
    <row r="163" spans="1:15" s="412" customFormat="1" ht="12.75">
      <c r="A163" s="411"/>
      <c r="C163" s="342"/>
      <c r="D163" s="342"/>
      <c r="E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</row>
    <row r="164" spans="1:15" s="412" customFormat="1" ht="12.75">
      <c r="A164" s="411"/>
      <c r="C164" s="342"/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</row>
    <row r="165" spans="1:15" s="412" customFormat="1" ht="12.75">
      <c r="A165" s="411"/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</row>
    <row r="166" spans="1:15" s="412" customFormat="1" ht="12.75">
      <c r="A166" s="411"/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</row>
    <row r="167" spans="1:15" s="412" customFormat="1" ht="12.75">
      <c r="A167" s="411"/>
      <c r="C167" s="342"/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</row>
    <row r="168" spans="1:15" s="412" customFormat="1" ht="12.75">
      <c r="A168" s="411"/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</row>
    <row r="169" spans="1:15" s="412" customFormat="1" ht="12.75">
      <c r="A169" s="411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</row>
    <row r="170" spans="1:15" s="412" customFormat="1" ht="12.75">
      <c r="A170" s="411"/>
      <c r="C170" s="342"/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</row>
    <row r="171" spans="1:15" s="412" customFormat="1" ht="12.75">
      <c r="A171" s="411"/>
      <c r="C171" s="342"/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</row>
    <row r="172" spans="1:15" s="412" customFormat="1" ht="12.75">
      <c r="A172" s="411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</row>
    <row r="173" spans="1:15" s="412" customFormat="1" ht="12.75">
      <c r="A173" s="411"/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</row>
    <row r="174" spans="1:15" s="412" customFormat="1" ht="12.75">
      <c r="A174" s="411"/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</row>
    <row r="175" spans="1:15" s="412" customFormat="1" ht="12.75">
      <c r="A175" s="411"/>
      <c r="C175" s="342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</row>
    <row r="176" spans="1:15" s="412" customFormat="1" ht="12.75">
      <c r="A176" s="411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</row>
    <row r="177" spans="1:15" s="412" customFormat="1" ht="12.75">
      <c r="A177" s="411"/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</row>
    <row r="178" spans="1:15" s="412" customFormat="1" ht="12.75">
      <c r="A178" s="411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2"/>
      <c r="O178" s="342"/>
    </row>
    <row r="179" spans="1:15" s="412" customFormat="1" ht="12.75">
      <c r="A179" s="411"/>
      <c r="C179" s="342"/>
      <c r="D179" s="342"/>
      <c r="E179" s="342"/>
      <c r="F179" s="342"/>
      <c r="G179" s="342"/>
      <c r="H179" s="342"/>
      <c r="I179" s="342"/>
      <c r="J179" s="342"/>
      <c r="K179" s="342"/>
      <c r="L179" s="342"/>
      <c r="M179" s="342"/>
      <c r="N179" s="342"/>
      <c r="O179" s="342"/>
    </row>
    <row r="180" spans="1:15" s="412" customFormat="1" ht="12.75">
      <c r="A180" s="411"/>
      <c r="C180" s="342"/>
      <c r="D180" s="342"/>
      <c r="E180" s="342"/>
      <c r="F180" s="342"/>
      <c r="G180" s="342"/>
      <c r="H180" s="342"/>
      <c r="I180" s="342"/>
      <c r="J180" s="342"/>
      <c r="K180" s="342"/>
      <c r="L180" s="342"/>
      <c r="M180" s="342"/>
      <c r="N180" s="342"/>
      <c r="O180" s="342"/>
    </row>
    <row r="181" spans="1:15" s="412" customFormat="1" ht="12.75">
      <c r="A181" s="411"/>
      <c r="C181" s="342"/>
      <c r="D181" s="342"/>
      <c r="E181" s="342"/>
      <c r="F181" s="342"/>
      <c r="G181" s="342"/>
      <c r="H181" s="342"/>
      <c r="I181" s="342"/>
      <c r="J181" s="342"/>
      <c r="K181" s="342"/>
      <c r="L181" s="342"/>
      <c r="M181" s="342"/>
      <c r="N181" s="342"/>
      <c r="O181" s="342"/>
    </row>
    <row r="182" spans="1:15" s="412" customFormat="1" ht="12.75">
      <c r="A182" s="411"/>
      <c r="C182" s="342"/>
      <c r="D182" s="342"/>
      <c r="E182" s="342"/>
      <c r="F182" s="342"/>
      <c r="G182" s="342"/>
      <c r="H182" s="342"/>
      <c r="I182" s="342"/>
      <c r="J182" s="342"/>
      <c r="K182" s="342"/>
      <c r="L182" s="342"/>
      <c r="M182" s="342"/>
      <c r="N182" s="342"/>
      <c r="O182" s="342"/>
    </row>
    <row r="183" spans="1:15" s="412" customFormat="1" ht="12.75">
      <c r="A183" s="411"/>
      <c r="C183" s="342"/>
      <c r="D183" s="342"/>
      <c r="E183" s="342"/>
      <c r="F183" s="342"/>
      <c r="G183" s="342"/>
      <c r="H183" s="342"/>
      <c r="I183" s="342"/>
      <c r="J183" s="342"/>
      <c r="K183" s="342"/>
      <c r="L183" s="342"/>
      <c r="M183" s="342"/>
      <c r="N183" s="342"/>
      <c r="O183" s="342"/>
    </row>
    <row r="184" spans="1:15" s="412" customFormat="1" ht="12.75">
      <c r="A184" s="411"/>
      <c r="C184" s="342"/>
      <c r="D184" s="342"/>
      <c r="E184" s="342"/>
      <c r="F184" s="342"/>
      <c r="G184" s="342"/>
      <c r="H184" s="342"/>
      <c r="I184" s="342"/>
      <c r="J184" s="342"/>
      <c r="K184" s="342"/>
      <c r="L184" s="342"/>
      <c r="M184" s="342"/>
      <c r="N184" s="342"/>
      <c r="O184" s="342"/>
    </row>
    <row r="185" spans="1:15" s="412" customFormat="1" ht="12.75">
      <c r="A185" s="411"/>
      <c r="C185" s="342"/>
      <c r="D185" s="342"/>
      <c r="E185" s="342"/>
      <c r="F185" s="342"/>
      <c r="G185" s="342"/>
      <c r="H185" s="342"/>
      <c r="I185" s="342"/>
      <c r="J185" s="342"/>
      <c r="K185" s="342"/>
      <c r="L185" s="342"/>
      <c r="M185" s="342"/>
      <c r="N185" s="342"/>
      <c r="O185" s="342"/>
    </row>
    <row r="186" spans="1:15" s="412" customFormat="1" ht="12.75">
      <c r="A186" s="411"/>
      <c r="C186" s="342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342"/>
    </row>
    <row r="187" spans="1:15" s="412" customFormat="1" ht="12.75">
      <c r="A187" s="411"/>
      <c r="C187" s="342"/>
      <c r="D187" s="342"/>
      <c r="E187" s="342"/>
      <c r="F187" s="342"/>
      <c r="G187" s="342"/>
      <c r="H187" s="342"/>
      <c r="I187" s="342"/>
      <c r="J187" s="342"/>
      <c r="K187" s="342"/>
      <c r="L187" s="342"/>
      <c r="M187" s="342"/>
      <c r="N187" s="342"/>
      <c r="O187" s="342"/>
    </row>
    <row r="188" spans="1:15" s="412" customFormat="1" ht="12.75">
      <c r="A188" s="411"/>
      <c r="C188" s="342"/>
      <c r="D188" s="342"/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</row>
    <row r="189" spans="1:15" s="412" customFormat="1" ht="12.75">
      <c r="A189" s="411"/>
      <c r="C189" s="342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</row>
    <row r="190" spans="1:15" s="412" customFormat="1" ht="12.75">
      <c r="A190" s="411"/>
      <c r="C190" s="342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</row>
    <row r="191" spans="1:15" s="412" customFormat="1" ht="12.75">
      <c r="A191" s="411"/>
      <c r="C191" s="342"/>
      <c r="D191" s="342"/>
      <c r="E191" s="342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</row>
    <row r="192" spans="1:15" s="412" customFormat="1" ht="12.75">
      <c r="A192" s="411"/>
      <c r="C192" s="342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</row>
    <row r="193" spans="1:15" s="412" customFormat="1" ht="12.75">
      <c r="A193" s="411"/>
      <c r="C193" s="342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</row>
    <row r="194" spans="1:15" s="412" customFormat="1" ht="12.75">
      <c r="A194" s="411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</row>
    <row r="195" spans="1:15" s="412" customFormat="1" ht="12.75">
      <c r="A195" s="411"/>
      <c r="C195" s="342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</row>
    <row r="196" spans="1:15" s="412" customFormat="1" ht="12.75">
      <c r="A196" s="411"/>
      <c r="C196" s="342"/>
      <c r="D196" s="342"/>
      <c r="E196" s="342"/>
      <c r="F196" s="342"/>
      <c r="G196" s="342"/>
      <c r="H196" s="342"/>
      <c r="I196" s="342"/>
      <c r="J196" s="342"/>
      <c r="K196" s="342"/>
      <c r="L196" s="342"/>
      <c r="M196" s="342"/>
      <c r="N196" s="342"/>
      <c r="O196" s="342"/>
    </row>
    <row r="197" spans="1:15" s="412" customFormat="1" ht="12.75">
      <c r="A197" s="411"/>
      <c r="C197" s="342"/>
      <c r="D197" s="342"/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</row>
    <row r="198" spans="1:15" s="412" customFormat="1" ht="12.75">
      <c r="A198" s="411"/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</row>
    <row r="264" spans="7:7">
      <c r="G264" s="413">
        <f>115000000+12000000</f>
        <v>127000000</v>
      </c>
    </row>
    <row r="372" spans="7:7">
      <c r="G372" s="413"/>
    </row>
  </sheetData>
  <mergeCells count="75">
    <mergeCell ref="A126:C126"/>
    <mergeCell ref="A132:N132"/>
    <mergeCell ref="A97:A101"/>
    <mergeCell ref="B97:C97"/>
    <mergeCell ref="B98:B101"/>
    <mergeCell ref="C98:C101"/>
    <mergeCell ref="A102:A125"/>
    <mergeCell ref="B102:C102"/>
    <mergeCell ref="B103:B125"/>
    <mergeCell ref="C103:C125"/>
    <mergeCell ref="A84:A96"/>
    <mergeCell ref="B84:C84"/>
    <mergeCell ref="B85:B86"/>
    <mergeCell ref="C85:C86"/>
    <mergeCell ref="B87:B88"/>
    <mergeCell ref="C87:C88"/>
    <mergeCell ref="B89:B93"/>
    <mergeCell ref="C89:C93"/>
    <mergeCell ref="B94:B96"/>
    <mergeCell ref="C94:C96"/>
    <mergeCell ref="A76:A79"/>
    <mergeCell ref="B76:C76"/>
    <mergeCell ref="B77:B79"/>
    <mergeCell ref="C77:C79"/>
    <mergeCell ref="A80:A83"/>
    <mergeCell ref="B80:C80"/>
    <mergeCell ref="B81:B83"/>
    <mergeCell ref="C81:C83"/>
    <mergeCell ref="A53:A75"/>
    <mergeCell ref="B53:C53"/>
    <mergeCell ref="B54:B57"/>
    <mergeCell ref="C54:C57"/>
    <mergeCell ref="B58:B63"/>
    <mergeCell ref="C58:C63"/>
    <mergeCell ref="B64:B75"/>
    <mergeCell ref="C64:C75"/>
    <mergeCell ref="A40:A44"/>
    <mergeCell ref="B40:C40"/>
    <mergeCell ref="B41:B44"/>
    <mergeCell ref="C41:C44"/>
    <mergeCell ref="A45:A52"/>
    <mergeCell ref="B45:C45"/>
    <mergeCell ref="B46:B50"/>
    <mergeCell ref="C46:C50"/>
    <mergeCell ref="B51:B52"/>
    <mergeCell ref="C51:C52"/>
    <mergeCell ref="A29:A39"/>
    <mergeCell ref="B29:C29"/>
    <mergeCell ref="B30:B34"/>
    <mergeCell ref="C30:C34"/>
    <mergeCell ref="B35:B39"/>
    <mergeCell ref="C35:C39"/>
    <mergeCell ref="M4:M5"/>
    <mergeCell ref="A7:A28"/>
    <mergeCell ref="B7:C7"/>
    <mergeCell ref="B8:B23"/>
    <mergeCell ref="C8:C23"/>
    <mergeCell ref="B24:B28"/>
    <mergeCell ref="C24:C28"/>
    <mergeCell ref="A1:O1"/>
    <mergeCell ref="N2:O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N3:N5"/>
    <mergeCell ref="O3:O5"/>
    <mergeCell ref="I4:I5"/>
    <mergeCell ref="J4:K4"/>
    <mergeCell ref="L4:L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5" orientation="landscape" r:id="rId1"/>
  <headerFooter>
    <oddFooter>Strona &amp;P z &amp;N</oddFooter>
  </headerFooter>
  <rowBreaks count="1" manualBreakCount="1">
    <brk id="9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1F01-A156-4156-BF32-32AA0DF6A913}">
  <sheetPr>
    <pageSetUpPr fitToPage="1"/>
  </sheetPr>
  <dimension ref="A1:N78"/>
  <sheetViews>
    <sheetView view="pageBreakPreview" topLeftCell="A51" zoomScaleSheetLayoutView="100" zoomScalePageLayoutView="50" workbookViewId="0">
      <selection activeCell="K153" sqref="K153"/>
    </sheetView>
  </sheetViews>
  <sheetFormatPr defaultRowHeight="14.25"/>
  <cols>
    <col min="1" max="1" width="6.140625" style="307" bestFit="1" customWidth="1"/>
    <col min="2" max="2" width="10.140625" style="307" bestFit="1" customWidth="1"/>
    <col min="3" max="3" width="41.7109375" style="308" customWidth="1"/>
    <col min="4" max="4" width="10.28515625" style="308" bestFit="1" customWidth="1"/>
    <col min="5" max="5" width="17" style="309" customWidth="1"/>
    <col min="6" max="6" width="17.7109375" style="309" customWidth="1"/>
    <col min="7" max="7" width="10.28515625" style="309" bestFit="1" customWidth="1"/>
    <col min="8" max="8" width="16.85546875" style="309" customWidth="1"/>
    <col min="9" max="9" width="16.140625" style="309" customWidth="1"/>
    <col min="10" max="10" width="17.42578125" style="309" customWidth="1"/>
    <col min="11" max="11" width="17" style="309" customWidth="1"/>
    <col min="12" max="12" width="40.5703125" style="309" customWidth="1"/>
    <col min="13" max="13" width="9.140625" style="3" customWidth="1"/>
    <col min="14" max="14" width="30.140625" style="3" customWidth="1"/>
    <col min="15" max="260" width="9.140625" style="3"/>
    <col min="261" max="261" width="7.140625" style="3" customWidth="1"/>
    <col min="262" max="262" width="11" style="3" customWidth="1"/>
    <col min="263" max="263" width="16.140625" style="3" customWidth="1"/>
    <col min="264" max="265" width="13.85546875" style="3" customWidth="1"/>
    <col min="266" max="266" width="18.42578125" style="3" customWidth="1"/>
    <col min="267" max="267" width="16.42578125" style="3" customWidth="1"/>
    <col min="268" max="268" width="44.7109375" style="3" customWidth="1"/>
    <col min="269" max="516" width="9.140625" style="3"/>
    <col min="517" max="517" width="7.140625" style="3" customWidth="1"/>
    <col min="518" max="518" width="11" style="3" customWidth="1"/>
    <col min="519" max="519" width="16.140625" style="3" customWidth="1"/>
    <col min="520" max="521" width="13.85546875" style="3" customWidth="1"/>
    <col min="522" max="522" width="18.42578125" style="3" customWidth="1"/>
    <col min="523" max="523" width="16.42578125" style="3" customWidth="1"/>
    <col min="524" max="524" width="44.7109375" style="3" customWidth="1"/>
    <col min="525" max="772" width="9.140625" style="3"/>
    <col min="773" max="773" width="7.140625" style="3" customWidth="1"/>
    <col min="774" max="774" width="11" style="3" customWidth="1"/>
    <col min="775" max="775" width="16.140625" style="3" customWidth="1"/>
    <col min="776" max="777" width="13.85546875" style="3" customWidth="1"/>
    <col min="778" max="778" width="18.42578125" style="3" customWidth="1"/>
    <col min="779" max="779" width="16.42578125" style="3" customWidth="1"/>
    <col min="780" max="780" width="44.7109375" style="3" customWidth="1"/>
    <col min="781" max="1028" width="9.140625" style="3"/>
    <col min="1029" max="1029" width="7.140625" style="3" customWidth="1"/>
    <col min="1030" max="1030" width="11" style="3" customWidth="1"/>
    <col min="1031" max="1031" width="16.140625" style="3" customWidth="1"/>
    <col min="1032" max="1033" width="13.85546875" style="3" customWidth="1"/>
    <col min="1034" max="1034" width="18.42578125" style="3" customWidth="1"/>
    <col min="1035" max="1035" width="16.42578125" style="3" customWidth="1"/>
    <col min="1036" max="1036" width="44.7109375" style="3" customWidth="1"/>
    <col min="1037" max="1284" width="9.140625" style="3"/>
    <col min="1285" max="1285" width="7.140625" style="3" customWidth="1"/>
    <col min="1286" max="1286" width="11" style="3" customWidth="1"/>
    <col min="1287" max="1287" width="16.140625" style="3" customWidth="1"/>
    <col min="1288" max="1289" width="13.85546875" style="3" customWidth="1"/>
    <col min="1290" max="1290" width="18.42578125" style="3" customWidth="1"/>
    <col min="1291" max="1291" width="16.42578125" style="3" customWidth="1"/>
    <col min="1292" max="1292" width="44.7109375" style="3" customWidth="1"/>
    <col min="1293" max="1540" width="9.140625" style="3"/>
    <col min="1541" max="1541" width="7.140625" style="3" customWidth="1"/>
    <col min="1542" max="1542" width="11" style="3" customWidth="1"/>
    <col min="1543" max="1543" width="16.140625" style="3" customWidth="1"/>
    <col min="1544" max="1545" width="13.85546875" style="3" customWidth="1"/>
    <col min="1546" max="1546" width="18.42578125" style="3" customWidth="1"/>
    <col min="1547" max="1547" width="16.42578125" style="3" customWidth="1"/>
    <col min="1548" max="1548" width="44.7109375" style="3" customWidth="1"/>
    <col min="1549" max="1796" width="9.140625" style="3"/>
    <col min="1797" max="1797" width="7.140625" style="3" customWidth="1"/>
    <col min="1798" max="1798" width="11" style="3" customWidth="1"/>
    <col min="1799" max="1799" width="16.140625" style="3" customWidth="1"/>
    <col min="1800" max="1801" width="13.85546875" style="3" customWidth="1"/>
    <col min="1802" max="1802" width="18.42578125" style="3" customWidth="1"/>
    <col min="1803" max="1803" width="16.42578125" style="3" customWidth="1"/>
    <col min="1804" max="1804" width="44.7109375" style="3" customWidth="1"/>
    <col min="1805" max="2052" width="9.140625" style="3"/>
    <col min="2053" max="2053" width="7.140625" style="3" customWidth="1"/>
    <col min="2054" max="2054" width="11" style="3" customWidth="1"/>
    <col min="2055" max="2055" width="16.140625" style="3" customWidth="1"/>
    <col min="2056" max="2057" width="13.85546875" style="3" customWidth="1"/>
    <col min="2058" max="2058" width="18.42578125" style="3" customWidth="1"/>
    <col min="2059" max="2059" width="16.42578125" style="3" customWidth="1"/>
    <col min="2060" max="2060" width="44.7109375" style="3" customWidth="1"/>
    <col min="2061" max="2308" width="9.140625" style="3"/>
    <col min="2309" max="2309" width="7.140625" style="3" customWidth="1"/>
    <col min="2310" max="2310" width="11" style="3" customWidth="1"/>
    <col min="2311" max="2311" width="16.140625" style="3" customWidth="1"/>
    <col min="2312" max="2313" width="13.85546875" style="3" customWidth="1"/>
    <col min="2314" max="2314" width="18.42578125" style="3" customWidth="1"/>
    <col min="2315" max="2315" width="16.42578125" style="3" customWidth="1"/>
    <col min="2316" max="2316" width="44.7109375" style="3" customWidth="1"/>
    <col min="2317" max="2564" width="9.140625" style="3"/>
    <col min="2565" max="2565" width="7.140625" style="3" customWidth="1"/>
    <col min="2566" max="2566" width="11" style="3" customWidth="1"/>
    <col min="2567" max="2567" width="16.140625" style="3" customWidth="1"/>
    <col min="2568" max="2569" width="13.85546875" style="3" customWidth="1"/>
    <col min="2570" max="2570" width="18.42578125" style="3" customWidth="1"/>
    <col min="2571" max="2571" width="16.42578125" style="3" customWidth="1"/>
    <col min="2572" max="2572" width="44.7109375" style="3" customWidth="1"/>
    <col min="2573" max="2820" width="9.140625" style="3"/>
    <col min="2821" max="2821" width="7.140625" style="3" customWidth="1"/>
    <col min="2822" max="2822" width="11" style="3" customWidth="1"/>
    <col min="2823" max="2823" width="16.140625" style="3" customWidth="1"/>
    <col min="2824" max="2825" width="13.85546875" style="3" customWidth="1"/>
    <col min="2826" max="2826" width="18.42578125" style="3" customWidth="1"/>
    <col min="2827" max="2827" width="16.42578125" style="3" customWidth="1"/>
    <col min="2828" max="2828" width="44.7109375" style="3" customWidth="1"/>
    <col min="2829" max="3076" width="9.140625" style="3"/>
    <col min="3077" max="3077" width="7.140625" style="3" customWidth="1"/>
    <col min="3078" max="3078" width="11" style="3" customWidth="1"/>
    <col min="3079" max="3079" width="16.140625" style="3" customWidth="1"/>
    <col min="3080" max="3081" width="13.85546875" style="3" customWidth="1"/>
    <col min="3082" max="3082" width="18.42578125" style="3" customWidth="1"/>
    <col min="3083" max="3083" width="16.42578125" style="3" customWidth="1"/>
    <col min="3084" max="3084" width="44.7109375" style="3" customWidth="1"/>
    <col min="3085" max="3332" width="9.140625" style="3"/>
    <col min="3333" max="3333" width="7.140625" style="3" customWidth="1"/>
    <col min="3334" max="3334" width="11" style="3" customWidth="1"/>
    <col min="3335" max="3335" width="16.140625" style="3" customWidth="1"/>
    <col min="3336" max="3337" width="13.85546875" style="3" customWidth="1"/>
    <col min="3338" max="3338" width="18.42578125" style="3" customWidth="1"/>
    <col min="3339" max="3339" width="16.42578125" style="3" customWidth="1"/>
    <col min="3340" max="3340" width="44.7109375" style="3" customWidth="1"/>
    <col min="3341" max="3588" width="9.140625" style="3"/>
    <col min="3589" max="3589" width="7.140625" style="3" customWidth="1"/>
    <col min="3590" max="3590" width="11" style="3" customWidth="1"/>
    <col min="3591" max="3591" width="16.140625" style="3" customWidth="1"/>
    <col min="3592" max="3593" width="13.85546875" style="3" customWidth="1"/>
    <col min="3594" max="3594" width="18.42578125" style="3" customWidth="1"/>
    <col min="3595" max="3595" width="16.42578125" style="3" customWidth="1"/>
    <col min="3596" max="3596" width="44.7109375" style="3" customWidth="1"/>
    <col min="3597" max="3844" width="9.140625" style="3"/>
    <col min="3845" max="3845" width="7.140625" style="3" customWidth="1"/>
    <col min="3846" max="3846" width="11" style="3" customWidth="1"/>
    <col min="3847" max="3847" width="16.140625" style="3" customWidth="1"/>
    <col min="3848" max="3849" width="13.85546875" style="3" customWidth="1"/>
    <col min="3850" max="3850" width="18.42578125" style="3" customWidth="1"/>
    <col min="3851" max="3851" width="16.42578125" style="3" customWidth="1"/>
    <col min="3852" max="3852" width="44.7109375" style="3" customWidth="1"/>
    <col min="3853" max="4100" width="9.140625" style="3"/>
    <col min="4101" max="4101" width="7.140625" style="3" customWidth="1"/>
    <col min="4102" max="4102" width="11" style="3" customWidth="1"/>
    <col min="4103" max="4103" width="16.140625" style="3" customWidth="1"/>
    <col min="4104" max="4105" width="13.85546875" style="3" customWidth="1"/>
    <col min="4106" max="4106" width="18.42578125" style="3" customWidth="1"/>
    <col min="4107" max="4107" width="16.42578125" style="3" customWidth="1"/>
    <col min="4108" max="4108" width="44.7109375" style="3" customWidth="1"/>
    <col min="4109" max="4356" width="9.140625" style="3"/>
    <col min="4357" max="4357" width="7.140625" style="3" customWidth="1"/>
    <col min="4358" max="4358" width="11" style="3" customWidth="1"/>
    <col min="4359" max="4359" width="16.140625" style="3" customWidth="1"/>
    <col min="4360" max="4361" width="13.85546875" style="3" customWidth="1"/>
    <col min="4362" max="4362" width="18.42578125" style="3" customWidth="1"/>
    <col min="4363" max="4363" width="16.42578125" style="3" customWidth="1"/>
    <col min="4364" max="4364" width="44.7109375" style="3" customWidth="1"/>
    <col min="4365" max="4612" width="9.140625" style="3"/>
    <col min="4613" max="4613" width="7.140625" style="3" customWidth="1"/>
    <col min="4614" max="4614" width="11" style="3" customWidth="1"/>
    <col min="4615" max="4615" width="16.140625" style="3" customWidth="1"/>
    <col min="4616" max="4617" width="13.85546875" style="3" customWidth="1"/>
    <col min="4618" max="4618" width="18.42578125" style="3" customWidth="1"/>
    <col min="4619" max="4619" width="16.42578125" style="3" customWidth="1"/>
    <col min="4620" max="4620" width="44.7109375" style="3" customWidth="1"/>
    <col min="4621" max="4868" width="9.140625" style="3"/>
    <col min="4869" max="4869" width="7.140625" style="3" customWidth="1"/>
    <col min="4870" max="4870" width="11" style="3" customWidth="1"/>
    <col min="4871" max="4871" width="16.140625" style="3" customWidth="1"/>
    <col min="4872" max="4873" width="13.85546875" style="3" customWidth="1"/>
    <col min="4874" max="4874" width="18.42578125" style="3" customWidth="1"/>
    <col min="4875" max="4875" width="16.42578125" style="3" customWidth="1"/>
    <col min="4876" max="4876" width="44.7109375" style="3" customWidth="1"/>
    <col min="4877" max="5124" width="9.140625" style="3"/>
    <col min="5125" max="5125" width="7.140625" style="3" customWidth="1"/>
    <col min="5126" max="5126" width="11" style="3" customWidth="1"/>
    <col min="5127" max="5127" width="16.140625" style="3" customWidth="1"/>
    <col min="5128" max="5129" width="13.85546875" style="3" customWidth="1"/>
    <col min="5130" max="5130" width="18.42578125" style="3" customWidth="1"/>
    <col min="5131" max="5131" width="16.42578125" style="3" customWidth="1"/>
    <col min="5132" max="5132" width="44.7109375" style="3" customWidth="1"/>
    <col min="5133" max="5380" width="9.140625" style="3"/>
    <col min="5381" max="5381" width="7.140625" style="3" customWidth="1"/>
    <col min="5382" max="5382" width="11" style="3" customWidth="1"/>
    <col min="5383" max="5383" width="16.140625" style="3" customWidth="1"/>
    <col min="5384" max="5385" width="13.85546875" style="3" customWidth="1"/>
    <col min="5386" max="5386" width="18.42578125" style="3" customWidth="1"/>
    <col min="5387" max="5387" width="16.42578125" style="3" customWidth="1"/>
    <col min="5388" max="5388" width="44.7109375" style="3" customWidth="1"/>
    <col min="5389" max="5636" width="9.140625" style="3"/>
    <col min="5637" max="5637" width="7.140625" style="3" customWidth="1"/>
    <col min="5638" max="5638" width="11" style="3" customWidth="1"/>
    <col min="5639" max="5639" width="16.140625" style="3" customWidth="1"/>
    <col min="5640" max="5641" width="13.85546875" style="3" customWidth="1"/>
    <col min="5642" max="5642" width="18.42578125" style="3" customWidth="1"/>
    <col min="5643" max="5643" width="16.42578125" style="3" customWidth="1"/>
    <col min="5644" max="5644" width="44.7109375" style="3" customWidth="1"/>
    <col min="5645" max="5892" width="9.140625" style="3"/>
    <col min="5893" max="5893" width="7.140625" style="3" customWidth="1"/>
    <col min="5894" max="5894" width="11" style="3" customWidth="1"/>
    <col min="5895" max="5895" width="16.140625" style="3" customWidth="1"/>
    <col min="5896" max="5897" width="13.85546875" style="3" customWidth="1"/>
    <col min="5898" max="5898" width="18.42578125" style="3" customWidth="1"/>
    <col min="5899" max="5899" width="16.42578125" style="3" customWidth="1"/>
    <col min="5900" max="5900" width="44.7109375" style="3" customWidth="1"/>
    <col min="5901" max="6148" width="9.140625" style="3"/>
    <col min="6149" max="6149" width="7.140625" style="3" customWidth="1"/>
    <col min="6150" max="6150" width="11" style="3" customWidth="1"/>
    <col min="6151" max="6151" width="16.140625" style="3" customWidth="1"/>
    <col min="6152" max="6153" width="13.85546875" style="3" customWidth="1"/>
    <col min="6154" max="6154" width="18.42578125" style="3" customWidth="1"/>
    <col min="6155" max="6155" width="16.42578125" style="3" customWidth="1"/>
    <col min="6156" max="6156" width="44.7109375" style="3" customWidth="1"/>
    <col min="6157" max="6404" width="9.140625" style="3"/>
    <col min="6405" max="6405" width="7.140625" style="3" customWidth="1"/>
    <col min="6406" max="6406" width="11" style="3" customWidth="1"/>
    <col min="6407" max="6407" width="16.140625" style="3" customWidth="1"/>
    <col min="6408" max="6409" width="13.85546875" style="3" customWidth="1"/>
    <col min="6410" max="6410" width="18.42578125" style="3" customWidth="1"/>
    <col min="6411" max="6411" width="16.42578125" style="3" customWidth="1"/>
    <col min="6412" max="6412" width="44.7109375" style="3" customWidth="1"/>
    <col min="6413" max="6660" width="9.140625" style="3"/>
    <col min="6661" max="6661" width="7.140625" style="3" customWidth="1"/>
    <col min="6662" max="6662" width="11" style="3" customWidth="1"/>
    <col min="6663" max="6663" width="16.140625" style="3" customWidth="1"/>
    <col min="6664" max="6665" width="13.85546875" style="3" customWidth="1"/>
    <col min="6666" max="6666" width="18.42578125" style="3" customWidth="1"/>
    <col min="6667" max="6667" width="16.42578125" style="3" customWidth="1"/>
    <col min="6668" max="6668" width="44.7109375" style="3" customWidth="1"/>
    <col min="6669" max="6916" width="9.140625" style="3"/>
    <col min="6917" max="6917" width="7.140625" style="3" customWidth="1"/>
    <col min="6918" max="6918" width="11" style="3" customWidth="1"/>
    <col min="6919" max="6919" width="16.140625" style="3" customWidth="1"/>
    <col min="6920" max="6921" width="13.85546875" style="3" customWidth="1"/>
    <col min="6922" max="6922" width="18.42578125" style="3" customWidth="1"/>
    <col min="6923" max="6923" width="16.42578125" style="3" customWidth="1"/>
    <col min="6924" max="6924" width="44.7109375" style="3" customWidth="1"/>
    <col min="6925" max="7172" width="9.140625" style="3"/>
    <col min="7173" max="7173" width="7.140625" style="3" customWidth="1"/>
    <col min="7174" max="7174" width="11" style="3" customWidth="1"/>
    <col min="7175" max="7175" width="16.140625" style="3" customWidth="1"/>
    <col min="7176" max="7177" width="13.85546875" style="3" customWidth="1"/>
    <col min="7178" max="7178" width="18.42578125" style="3" customWidth="1"/>
    <col min="7179" max="7179" width="16.42578125" style="3" customWidth="1"/>
    <col min="7180" max="7180" width="44.7109375" style="3" customWidth="1"/>
    <col min="7181" max="7428" width="9.140625" style="3"/>
    <col min="7429" max="7429" width="7.140625" style="3" customWidth="1"/>
    <col min="7430" max="7430" width="11" style="3" customWidth="1"/>
    <col min="7431" max="7431" width="16.140625" style="3" customWidth="1"/>
    <col min="7432" max="7433" width="13.85546875" style="3" customWidth="1"/>
    <col min="7434" max="7434" width="18.42578125" style="3" customWidth="1"/>
    <col min="7435" max="7435" width="16.42578125" style="3" customWidth="1"/>
    <col min="7436" max="7436" width="44.7109375" style="3" customWidth="1"/>
    <col min="7437" max="7684" width="9.140625" style="3"/>
    <col min="7685" max="7685" width="7.140625" style="3" customWidth="1"/>
    <col min="7686" max="7686" width="11" style="3" customWidth="1"/>
    <col min="7687" max="7687" width="16.140625" style="3" customWidth="1"/>
    <col min="7688" max="7689" width="13.85546875" style="3" customWidth="1"/>
    <col min="7690" max="7690" width="18.42578125" style="3" customWidth="1"/>
    <col min="7691" max="7691" width="16.42578125" style="3" customWidth="1"/>
    <col min="7692" max="7692" width="44.7109375" style="3" customWidth="1"/>
    <col min="7693" max="7940" width="9.140625" style="3"/>
    <col min="7941" max="7941" width="7.140625" style="3" customWidth="1"/>
    <col min="7942" max="7942" width="11" style="3" customWidth="1"/>
    <col min="7943" max="7943" width="16.140625" style="3" customWidth="1"/>
    <col min="7944" max="7945" width="13.85546875" style="3" customWidth="1"/>
    <col min="7946" max="7946" width="18.42578125" style="3" customWidth="1"/>
    <col min="7947" max="7947" width="16.42578125" style="3" customWidth="1"/>
    <col min="7948" max="7948" width="44.7109375" style="3" customWidth="1"/>
    <col min="7949" max="8196" width="9.140625" style="3"/>
    <col min="8197" max="8197" width="7.140625" style="3" customWidth="1"/>
    <col min="8198" max="8198" width="11" style="3" customWidth="1"/>
    <col min="8199" max="8199" width="16.140625" style="3" customWidth="1"/>
    <col min="8200" max="8201" width="13.85546875" style="3" customWidth="1"/>
    <col min="8202" max="8202" width="18.42578125" style="3" customWidth="1"/>
    <col min="8203" max="8203" width="16.42578125" style="3" customWidth="1"/>
    <col min="8204" max="8204" width="44.7109375" style="3" customWidth="1"/>
    <col min="8205" max="8452" width="9.140625" style="3"/>
    <col min="8453" max="8453" width="7.140625" style="3" customWidth="1"/>
    <col min="8454" max="8454" width="11" style="3" customWidth="1"/>
    <col min="8455" max="8455" width="16.140625" style="3" customWidth="1"/>
    <col min="8456" max="8457" width="13.85546875" style="3" customWidth="1"/>
    <col min="8458" max="8458" width="18.42578125" style="3" customWidth="1"/>
    <col min="8459" max="8459" width="16.42578125" style="3" customWidth="1"/>
    <col min="8460" max="8460" width="44.7109375" style="3" customWidth="1"/>
    <col min="8461" max="8708" width="9.140625" style="3"/>
    <col min="8709" max="8709" width="7.140625" style="3" customWidth="1"/>
    <col min="8710" max="8710" width="11" style="3" customWidth="1"/>
    <col min="8711" max="8711" width="16.140625" style="3" customWidth="1"/>
    <col min="8712" max="8713" width="13.85546875" style="3" customWidth="1"/>
    <col min="8714" max="8714" width="18.42578125" style="3" customWidth="1"/>
    <col min="8715" max="8715" width="16.42578125" style="3" customWidth="1"/>
    <col min="8716" max="8716" width="44.7109375" style="3" customWidth="1"/>
    <col min="8717" max="8964" width="9.140625" style="3"/>
    <col min="8965" max="8965" width="7.140625" style="3" customWidth="1"/>
    <col min="8966" max="8966" width="11" style="3" customWidth="1"/>
    <col min="8967" max="8967" width="16.140625" style="3" customWidth="1"/>
    <col min="8968" max="8969" width="13.85546875" style="3" customWidth="1"/>
    <col min="8970" max="8970" width="18.42578125" style="3" customWidth="1"/>
    <col min="8971" max="8971" width="16.42578125" style="3" customWidth="1"/>
    <col min="8972" max="8972" width="44.7109375" style="3" customWidth="1"/>
    <col min="8973" max="9220" width="9.140625" style="3"/>
    <col min="9221" max="9221" width="7.140625" style="3" customWidth="1"/>
    <col min="9222" max="9222" width="11" style="3" customWidth="1"/>
    <col min="9223" max="9223" width="16.140625" style="3" customWidth="1"/>
    <col min="9224" max="9225" width="13.85546875" style="3" customWidth="1"/>
    <col min="9226" max="9226" width="18.42578125" style="3" customWidth="1"/>
    <col min="9227" max="9227" width="16.42578125" style="3" customWidth="1"/>
    <col min="9228" max="9228" width="44.7109375" style="3" customWidth="1"/>
    <col min="9229" max="9476" width="9.140625" style="3"/>
    <col min="9477" max="9477" width="7.140625" style="3" customWidth="1"/>
    <col min="9478" max="9478" width="11" style="3" customWidth="1"/>
    <col min="9479" max="9479" width="16.140625" style="3" customWidth="1"/>
    <col min="9480" max="9481" width="13.85546875" style="3" customWidth="1"/>
    <col min="9482" max="9482" width="18.42578125" style="3" customWidth="1"/>
    <col min="9483" max="9483" width="16.42578125" style="3" customWidth="1"/>
    <col min="9484" max="9484" width="44.7109375" style="3" customWidth="1"/>
    <col min="9485" max="9732" width="9.140625" style="3"/>
    <col min="9733" max="9733" width="7.140625" style="3" customWidth="1"/>
    <col min="9734" max="9734" width="11" style="3" customWidth="1"/>
    <col min="9735" max="9735" width="16.140625" style="3" customWidth="1"/>
    <col min="9736" max="9737" width="13.85546875" style="3" customWidth="1"/>
    <col min="9738" max="9738" width="18.42578125" style="3" customWidth="1"/>
    <col min="9739" max="9739" width="16.42578125" style="3" customWidth="1"/>
    <col min="9740" max="9740" width="44.7109375" style="3" customWidth="1"/>
    <col min="9741" max="9988" width="9.140625" style="3"/>
    <col min="9989" max="9989" width="7.140625" style="3" customWidth="1"/>
    <col min="9990" max="9990" width="11" style="3" customWidth="1"/>
    <col min="9991" max="9991" width="16.140625" style="3" customWidth="1"/>
    <col min="9992" max="9993" width="13.85546875" style="3" customWidth="1"/>
    <col min="9994" max="9994" width="18.42578125" style="3" customWidth="1"/>
    <col min="9995" max="9995" width="16.42578125" style="3" customWidth="1"/>
    <col min="9996" max="9996" width="44.7109375" style="3" customWidth="1"/>
    <col min="9997" max="10244" width="9.140625" style="3"/>
    <col min="10245" max="10245" width="7.140625" style="3" customWidth="1"/>
    <col min="10246" max="10246" width="11" style="3" customWidth="1"/>
    <col min="10247" max="10247" width="16.140625" style="3" customWidth="1"/>
    <col min="10248" max="10249" width="13.85546875" style="3" customWidth="1"/>
    <col min="10250" max="10250" width="18.42578125" style="3" customWidth="1"/>
    <col min="10251" max="10251" width="16.42578125" style="3" customWidth="1"/>
    <col min="10252" max="10252" width="44.7109375" style="3" customWidth="1"/>
    <col min="10253" max="10500" width="9.140625" style="3"/>
    <col min="10501" max="10501" width="7.140625" style="3" customWidth="1"/>
    <col min="10502" max="10502" width="11" style="3" customWidth="1"/>
    <col min="10503" max="10503" width="16.140625" style="3" customWidth="1"/>
    <col min="10504" max="10505" width="13.85546875" style="3" customWidth="1"/>
    <col min="10506" max="10506" width="18.42578125" style="3" customWidth="1"/>
    <col min="10507" max="10507" width="16.42578125" style="3" customWidth="1"/>
    <col min="10508" max="10508" width="44.7109375" style="3" customWidth="1"/>
    <col min="10509" max="10756" width="9.140625" style="3"/>
    <col min="10757" max="10757" width="7.140625" style="3" customWidth="1"/>
    <col min="10758" max="10758" width="11" style="3" customWidth="1"/>
    <col min="10759" max="10759" width="16.140625" style="3" customWidth="1"/>
    <col min="10760" max="10761" width="13.85546875" style="3" customWidth="1"/>
    <col min="10762" max="10762" width="18.42578125" style="3" customWidth="1"/>
    <col min="10763" max="10763" width="16.42578125" style="3" customWidth="1"/>
    <col min="10764" max="10764" width="44.7109375" style="3" customWidth="1"/>
    <col min="10765" max="11012" width="9.140625" style="3"/>
    <col min="11013" max="11013" width="7.140625" style="3" customWidth="1"/>
    <col min="11014" max="11014" width="11" style="3" customWidth="1"/>
    <col min="11015" max="11015" width="16.140625" style="3" customWidth="1"/>
    <col min="11016" max="11017" width="13.85546875" style="3" customWidth="1"/>
    <col min="11018" max="11018" width="18.42578125" style="3" customWidth="1"/>
    <col min="11019" max="11019" width="16.42578125" style="3" customWidth="1"/>
    <col min="11020" max="11020" width="44.7109375" style="3" customWidth="1"/>
    <col min="11021" max="11268" width="9.140625" style="3"/>
    <col min="11269" max="11269" width="7.140625" style="3" customWidth="1"/>
    <col min="11270" max="11270" width="11" style="3" customWidth="1"/>
    <col min="11271" max="11271" width="16.140625" style="3" customWidth="1"/>
    <col min="11272" max="11273" width="13.85546875" style="3" customWidth="1"/>
    <col min="11274" max="11274" width="18.42578125" style="3" customWidth="1"/>
    <col min="11275" max="11275" width="16.42578125" style="3" customWidth="1"/>
    <col min="11276" max="11276" width="44.7109375" style="3" customWidth="1"/>
    <col min="11277" max="11524" width="9.140625" style="3"/>
    <col min="11525" max="11525" width="7.140625" style="3" customWidth="1"/>
    <col min="11526" max="11526" width="11" style="3" customWidth="1"/>
    <col min="11527" max="11527" width="16.140625" style="3" customWidth="1"/>
    <col min="11528" max="11529" width="13.85546875" style="3" customWidth="1"/>
    <col min="11530" max="11530" width="18.42578125" style="3" customWidth="1"/>
    <col min="11531" max="11531" width="16.42578125" style="3" customWidth="1"/>
    <col min="11532" max="11532" width="44.7109375" style="3" customWidth="1"/>
    <col min="11533" max="11780" width="9.140625" style="3"/>
    <col min="11781" max="11781" width="7.140625" style="3" customWidth="1"/>
    <col min="11782" max="11782" width="11" style="3" customWidth="1"/>
    <col min="11783" max="11783" width="16.140625" style="3" customWidth="1"/>
    <col min="11784" max="11785" width="13.85546875" style="3" customWidth="1"/>
    <col min="11786" max="11786" width="18.42578125" style="3" customWidth="1"/>
    <col min="11787" max="11787" width="16.42578125" style="3" customWidth="1"/>
    <col min="11788" max="11788" width="44.7109375" style="3" customWidth="1"/>
    <col min="11789" max="12036" width="9.140625" style="3"/>
    <col min="12037" max="12037" width="7.140625" style="3" customWidth="1"/>
    <col min="12038" max="12038" width="11" style="3" customWidth="1"/>
    <col min="12039" max="12039" width="16.140625" style="3" customWidth="1"/>
    <col min="12040" max="12041" width="13.85546875" style="3" customWidth="1"/>
    <col min="12042" max="12042" width="18.42578125" style="3" customWidth="1"/>
    <col min="12043" max="12043" width="16.42578125" style="3" customWidth="1"/>
    <col min="12044" max="12044" width="44.7109375" style="3" customWidth="1"/>
    <col min="12045" max="12292" width="9.140625" style="3"/>
    <col min="12293" max="12293" width="7.140625" style="3" customWidth="1"/>
    <col min="12294" max="12294" width="11" style="3" customWidth="1"/>
    <col min="12295" max="12295" width="16.140625" style="3" customWidth="1"/>
    <col min="12296" max="12297" width="13.85546875" style="3" customWidth="1"/>
    <col min="12298" max="12298" width="18.42578125" style="3" customWidth="1"/>
    <col min="12299" max="12299" width="16.42578125" style="3" customWidth="1"/>
    <col min="12300" max="12300" width="44.7109375" style="3" customWidth="1"/>
    <col min="12301" max="12548" width="9.140625" style="3"/>
    <col min="12549" max="12549" width="7.140625" style="3" customWidth="1"/>
    <col min="12550" max="12550" width="11" style="3" customWidth="1"/>
    <col min="12551" max="12551" width="16.140625" style="3" customWidth="1"/>
    <col min="12552" max="12553" width="13.85546875" style="3" customWidth="1"/>
    <col min="12554" max="12554" width="18.42578125" style="3" customWidth="1"/>
    <col min="12555" max="12555" width="16.42578125" style="3" customWidth="1"/>
    <col min="12556" max="12556" width="44.7109375" style="3" customWidth="1"/>
    <col min="12557" max="12804" width="9.140625" style="3"/>
    <col min="12805" max="12805" width="7.140625" style="3" customWidth="1"/>
    <col min="12806" max="12806" width="11" style="3" customWidth="1"/>
    <col min="12807" max="12807" width="16.140625" style="3" customWidth="1"/>
    <col min="12808" max="12809" width="13.85546875" style="3" customWidth="1"/>
    <col min="12810" max="12810" width="18.42578125" style="3" customWidth="1"/>
    <col min="12811" max="12811" width="16.42578125" style="3" customWidth="1"/>
    <col min="12812" max="12812" width="44.7109375" style="3" customWidth="1"/>
    <col min="12813" max="13060" width="9.140625" style="3"/>
    <col min="13061" max="13061" width="7.140625" style="3" customWidth="1"/>
    <col min="13062" max="13062" width="11" style="3" customWidth="1"/>
    <col min="13063" max="13063" width="16.140625" style="3" customWidth="1"/>
    <col min="13064" max="13065" width="13.85546875" style="3" customWidth="1"/>
    <col min="13066" max="13066" width="18.42578125" style="3" customWidth="1"/>
    <col min="13067" max="13067" width="16.42578125" style="3" customWidth="1"/>
    <col min="13068" max="13068" width="44.7109375" style="3" customWidth="1"/>
    <col min="13069" max="13316" width="9.140625" style="3"/>
    <col min="13317" max="13317" width="7.140625" style="3" customWidth="1"/>
    <col min="13318" max="13318" width="11" style="3" customWidth="1"/>
    <col min="13319" max="13319" width="16.140625" style="3" customWidth="1"/>
    <col min="13320" max="13321" width="13.85546875" style="3" customWidth="1"/>
    <col min="13322" max="13322" width="18.42578125" style="3" customWidth="1"/>
    <col min="13323" max="13323" width="16.42578125" style="3" customWidth="1"/>
    <col min="13324" max="13324" width="44.7109375" style="3" customWidth="1"/>
    <col min="13325" max="13572" width="9.140625" style="3"/>
    <col min="13573" max="13573" width="7.140625" style="3" customWidth="1"/>
    <col min="13574" max="13574" width="11" style="3" customWidth="1"/>
    <col min="13575" max="13575" width="16.140625" style="3" customWidth="1"/>
    <col min="13576" max="13577" width="13.85546875" style="3" customWidth="1"/>
    <col min="13578" max="13578" width="18.42578125" style="3" customWidth="1"/>
    <col min="13579" max="13579" width="16.42578125" style="3" customWidth="1"/>
    <col min="13580" max="13580" width="44.7109375" style="3" customWidth="1"/>
    <col min="13581" max="13828" width="9.140625" style="3"/>
    <col min="13829" max="13829" width="7.140625" style="3" customWidth="1"/>
    <col min="13830" max="13830" width="11" style="3" customWidth="1"/>
    <col min="13831" max="13831" width="16.140625" style="3" customWidth="1"/>
    <col min="13832" max="13833" width="13.85546875" style="3" customWidth="1"/>
    <col min="13834" max="13834" width="18.42578125" style="3" customWidth="1"/>
    <col min="13835" max="13835" width="16.42578125" style="3" customWidth="1"/>
    <col min="13836" max="13836" width="44.7109375" style="3" customWidth="1"/>
    <col min="13837" max="14084" width="9.140625" style="3"/>
    <col min="14085" max="14085" width="7.140625" style="3" customWidth="1"/>
    <col min="14086" max="14086" width="11" style="3" customWidth="1"/>
    <col min="14087" max="14087" width="16.140625" style="3" customWidth="1"/>
    <col min="14088" max="14089" width="13.85546875" style="3" customWidth="1"/>
    <col min="14090" max="14090" width="18.42578125" style="3" customWidth="1"/>
    <col min="14091" max="14091" width="16.42578125" style="3" customWidth="1"/>
    <col min="14092" max="14092" width="44.7109375" style="3" customWidth="1"/>
    <col min="14093" max="14340" width="9.140625" style="3"/>
    <col min="14341" max="14341" width="7.140625" style="3" customWidth="1"/>
    <col min="14342" max="14342" width="11" style="3" customWidth="1"/>
    <col min="14343" max="14343" width="16.140625" style="3" customWidth="1"/>
    <col min="14344" max="14345" width="13.85546875" style="3" customWidth="1"/>
    <col min="14346" max="14346" width="18.42578125" style="3" customWidth="1"/>
    <col min="14347" max="14347" width="16.42578125" style="3" customWidth="1"/>
    <col min="14348" max="14348" width="44.7109375" style="3" customWidth="1"/>
    <col min="14349" max="14596" width="9.140625" style="3"/>
    <col min="14597" max="14597" width="7.140625" style="3" customWidth="1"/>
    <col min="14598" max="14598" width="11" style="3" customWidth="1"/>
    <col min="14599" max="14599" width="16.140625" style="3" customWidth="1"/>
    <col min="14600" max="14601" width="13.85546875" style="3" customWidth="1"/>
    <col min="14602" max="14602" width="18.42578125" style="3" customWidth="1"/>
    <col min="14603" max="14603" width="16.42578125" style="3" customWidth="1"/>
    <col min="14604" max="14604" width="44.7109375" style="3" customWidth="1"/>
    <col min="14605" max="14852" width="9.140625" style="3"/>
    <col min="14853" max="14853" width="7.140625" style="3" customWidth="1"/>
    <col min="14854" max="14854" width="11" style="3" customWidth="1"/>
    <col min="14855" max="14855" width="16.140625" style="3" customWidth="1"/>
    <col min="14856" max="14857" width="13.85546875" style="3" customWidth="1"/>
    <col min="14858" max="14858" width="18.42578125" style="3" customWidth="1"/>
    <col min="14859" max="14859" width="16.42578125" style="3" customWidth="1"/>
    <col min="14860" max="14860" width="44.7109375" style="3" customWidth="1"/>
    <col min="14861" max="15108" width="9.140625" style="3"/>
    <col min="15109" max="15109" width="7.140625" style="3" customWidth="1"/>
    <col min="15110" max="15110" width="11" style="3" customWidth="1"/>
    <col min="15111" max="15111" width="16.140625" style="3" customWidth="1"/>
    <col min="15112" max="15113" width="13.85546875" style="3" customWidth="1"/>
    <col min="15114" max="15114" width="18.42578125" style="3" customWidth="1"/>
    <col min="15115" max="15115" width="16.42578125" style="3" customWidth="1"/>
    <col min="15116" max="15116" width="44.7109375" style="3" customWidth="1"/>
    <col min="15117" max="15364" width="9.140625" style="3"/>
    <col min="15365" max="15365" width="7.140625" style="3" customWidth="1"/>
    <col min="15366" max="15366" width="11" style="3" customWidth="1"/>
    <col min="15367" max="15367" width="16.140625" style="3" customWidth="1"/>
    <col min="15368" max="15369" width="13.85546875" style="3" customWidth="1"/>
    <col min="15370" max="15370" width="18.42578125" style="3" customWidth="1"/>
    <col min="15371" max="15371" width="16.42578125" style="3" customWidth="1"/>
    <col min="15372" max="15372" width="44.7109375" style="3" customWidth="1"/>
    <col min="15373" max="15620" width="9.140625" style="3"/>
    <col min="15621" max="15621" width="7.140625" style="3" customWidth="1"/>
    <col min="15622" max="15622" width="11" style="3" customWidth="1"/>
    <col min="15623" max="15623" width="16.140625" style="3" customWidth="1"/>
    <col min="15624" max="15625" width="13.85546875" style="3" customWidth="1"/>
    <col min="15626" max="15626" width="18.42578125" style="3" customWidth="1"/>
    <col min="15627" max="15627" width="16.42578125" style="3" customWidth="1"/>
    <col min="15628" max="15628" width="44.7109375" style="3" customWidth="1"/>
    <col min="15629" max="15876" width="9.140625" style="3"/>
    <col min="15877" max="15877" width="7.140625" style="3" customWidth="1"/>
    <col min="15878" max="15878" width="11" style="3" customWidth="1"/>
    <col min="15879" max="15879" width="16.140625" style="3" customWidth="1"/>
    <col min="15880" max="15881" width="13.85546875" style="3" customWidth="1"/>
    <col min="15882" max="15882" width="18.42578125" style="3" customWidth="1"/>
    <col min="15883" max="15883" width="16.42578125" style="3" customWidth="1"/>
    <col min="15884" max="15884" width="44.7109375" style="3" customWidth="1"/>
    <col min="15885" max="16132" width="9.140625" style="3"/>
    <col min="16133" max="16133" width="7.140625" style="3" customWidth="1"/>
    <col min="16134" max="16134" width="11" style="3" customWidth="1"/>
    <col min="16135" max="16135" width="16.140625" style="3" customWidth="1"/>
    <col min="16136" max="16137" width="13.85546875" style="3" customWidth="1"/>
    <col min="16138" max="16138" width="18.42578125" style="3" customWidth="1"/>
    <col min="16139" max="16139" width="16.42578125" style="3" customWidth="1"/>
    <col min="16140" max="16140" width="44.7109375" style="3" customWidth="1"/>
    <col min="16141" max="16384" width="9.140625" style="3"/>
  </cols>
  <sheetData>
    <row r="1" spans="1:12" ht="7.5" customHeight="1"/>
    <row r="2" spans="1:12" ht="35.25" customHeight="1">
      <c r="A2" s="5167" t="s">
        <v>0</v>
      </c>
      <c r="B2" s="5167"/>
      <c r="C2" s="5167"/>
      <c r="D2" s="5167"/>
      <c r="E2" s="5167"/>
      <c r="F2" s="5167"/>
      <c r="G2" s="5167"/>
      <c r="H2" s="5167"/>
      <c r="I2" s="5167"/>
      <c r="J2" s="5167"/>
      <c r="K2" s="5167"/>
      <c r="L2" s="5167"/>
    </row>
    <row r="3" spans="1:12" ht="18" customHeight="1" thickBot="1">
      <c r="A3" s="5168"/>
      <c r="B3" s="5168"/>
      <c r="C3" s="186"/>
      <c r="D3" s="186"/>
      <c r="E3" s="186"/>
      <c r="F3" s="186"/>
      <c r="G3" s="186"/>
      <c r="H3" s="186"/>
      <c r="I3" s="186"/>
      <c r="J3" s="186"/>
      <c r="K3" s="186"/>
      <c r="L3" s="306" t="s">
        <v>248</v>
      </c>
    </row>
    <row r="4" spans="1:12" ht="15.75" customHeight="1" thickBot="1">
      <c r="A4" s="5169" t="s">
        <v>1</v>
      </c>
      <c r="B4" s="5170" t="s">
        <v>2</v>
      </c>
      <c r="C4" s="5173" t="s">
        <v>3</v>
      </c>
      <c r="D4" s="5176" t="s">
        <v>4</v>
      </c>
      <c r="E4" s="5177" t="s">
        <v>5</v>
      </c>
      <c r="F4" s="5178"/>
      <c r="G4" s="5181" t="s">
        <v>4</v>
      </c>
      <c r="H4" s="5176" t="s">
        <v>6</v>
      </c>
      <c r="I4" s="5176"/>
      <c r="J4" s="5176"/>
      <c r="K4" s="5182"/>
      <c r="L4" s="5183" t="s">
        <v>7</v>
      </c>
    </row>
    <row r="5" spans="1:12" ht="18" customHeight="1" thickBot="1">
      <c r="A5" s="5169"/>
      <c r="B5" s="5171"/>
      <c r="C5" s="5174"/>
      <c r="D5" s="5176"/>
      <c r="E5" s="5179"/>
      <c r="F5" s="5180"/>
      <c r="G5" s="5181"/>
      <c r="H5" s="5185" t="s">
        <v>8</v>
      </c>
      <c r="I5" s="5173" t="s">
        <v>9</v>
      </c>
      <c r="J5" s="5176" t="s">
        <v>10</v>
      </c>
      <c r="K5" s="5182"/>
      <c r="L5" s="5183"/>
    </row>
    <row r="6" spans="1:12" ht="30" customHeight="1" thickBot="1">
      <c r="A6" s="5169"/>
      <c r="B6" s="5172"/>
      <c r="C6" s="5175"/>
      <c r="D6" s="5176"/>
      <c r="E6" s="4107" t="s">
        <v>8</v>
      </c>
      <c r="F6" s="4108" t="s">
        <v>9</v>
      </c>
      <c r="G6" s="5181"/>
      <c r="H6" s="5186"/>
      <c r="I6" s="5175"/>
      <c r="J6" s="4109" t="s">
        <v>11</v>
      </c>
      <c r="K6" s="4110" t="s">
        <v>12</v>
      </c>
      <c r="L6" s="5184"/>
    </row>
    <row r="7" spans="1:12" s="5" customFormat="1" ht="30" customHeight="1" thickBot="1">
      <c r="A7" s="4111" t="s">
        <v>13</v>
      </c>
      <c r="B7" s="4112"/>
      <c r="C7" s="4113" t="s">
        <v>14</v>
      </c>
      <c r="D7" s="4114"/>
      <c r="E7" s="4115">
        <f>SUM(E8)</f>
        <v>9500000</v>
      </c>
      <c r="F7" s="4116">
        <f>SUM(F8)</f>
        <v>16391426.470000001</v>
      </c>
      <c r="G7" s="4117"/>
      <c r="H7" s="4118">
        <f>SUM(H8)</f>
        <v>12962823</v>
      </c>
      <c r="I7" s="4119">
        <f>SUM(I8)</f>
        <v>11676117.17</v>
      </c>
      <c r="J7" s="4116">
        <f>SUM(J8)</f>
        <v>3129335.3400000003</v>
      </c>
      <c r="K7" s="4119">
        <f>SUM(K8)</f>
        <v>8546781.8300000001</v>
      </c>
      <c r="L7" s="5165" t="s">
        <v>15</v>
      </c>
    </row>
    <row r="8" spans="1:12" s="6" customFormat="1" ht="31.5" customHeight="1">
      <c r="A8" s="5166"/>
      <c r="B8" s="4100" t="s">
        <v>16</v>
      </c>
      <c r="C8" s="4120" t="s">
        <v>17</v>
      </c>
      <c r="D8" s="4121"/>
      <c r="E8" s="4122">
        <f>SUM(E9:E15)</f>
        <v>9500000</v>
      </c>
      <c r="F8" s="4123">
        <f>SUM(F9:F15)</f>
        <v>16391426.470000001</v>
      </c>
      <c r="G8" s="4100"/>
      <c r="H8" s="4124">
        <f>SUM(H9:H15)</f>
        <v>12962823</v>
      </c>
      <c r="I8" s="4125">
        <f>SUM(I9:I15)</f>
        <v>11676117.17</v>
      </c>
      <c r="J8" s="4123">
        <f>SUM(J9:J15)</f>
        <v>3129335.3400000003</v>
      </c>
      <c r="K8" s="4125">
        <f>SUM(K9:K15)</f>
        <v>8546781.8300000001</v>
      </c>
      <c r="L8" s="5131"/>
    </row>
    <row r="9" spans="1:12" s="6" customFormat="1">
      <c r="A9" s="5166"/>
      <c r="B9" s="5148"/>
      <c r="C9" s="5158"/>
      <c r="D9" s="4126" t="s">
        <v>18</v>
      </c>
      <c r="E9" s="4127">
        <v>9500000</v>
      </c>
      <c r="F9" s="4128">
        <v>16319682.93</v>
      </c>
      <c r="G9" s="3784" t="s">
        <v>19</v>
      </c>
      <c r="H9" s="3785">
        <v>3393415</v>
      </c>
      <c r="I9" s="4129">
        <f>J9+K9</f>
        <v>2895356.47</v>
      </c>
      <c r="J9" s="4130">
        <v>2895356.47</v>
      </c>
      <c r="K9" s="4131"/>
      <c r="L9" s="5131"/>
    </row>
    <row r="10" spans="1:12" s="6" customFormat="1">
      <c r="A10" s="5166"/>
      <c r="B10" s="5149"/>
      <c r="C10" s="5159"/>
      <c r="D10" s="4132" t="s">
        <v>20</v>
      </c>
      <c r="E10" s="4127">
        <v>0</v>
      </c>
      <c r="F10" s="4128">
        <v>71264.13</v>
      </c>
      <c r="G10" s="3784" t="s">
        <v>21</v>
      </c>
      <c r="H10" s="3785">
        <v>180000</v>
      </c>
      <c r="I10" s="4129">
        <f t="shared" ref="I10:I15" si="0">J10+K10</f>
        <v>50552.41</v>
      </c>
      <c r="J10" s="4130">
        <v>50552.41</v>
      </c>
      <c r="K10" s="4131"/>
      <c r="L10" s="5131"/>
    </row>
    <row r="11" spans="1:12" s="6" customFormat="1">
      <c r="A11" s="5166"/>
      <c r="B11" s="5149"/>
      <c r="C11" s="5159"/>
      <c r="D11" s="4132" t="s">
        <v>178</v>
      </c>
      <c r="E11" s="4127">
        <v>0</v>
      </c>
      <c r="F11" s="4128">
        <v>479.41</v>
      </c>
      <c r="G11" s="3784" t="s">
        <v>22</v>
      </c>
      <c r="H11" s="3785">
        <v>210000</v>
      </c>
      <c r="I11" s="4129">
        <f t="shared" si="0"/>
        <v>173094.46</v>
      </c>
      <c r="J11" s="4130">
        <v>173094.46</v>
      </c>
      <c r="K11" s="4131"/>
      <c r="L11" s="5131"/>
    </row>
    <row r="12" spans="1:12" s="6" customFormat="1">
      <c r="A12" s="5166"/>
      <c r="B12" s="5149"/>
      <c r="C12" s="5159"/>
      <c r="D12" s="4132"/>
      <c r="E12" s="4127"/>
      <c r="F12" s="4128"/>
      <c r="G12" s="3784" t="s">
        <v>23</v>
      </c>
      <c r="H12" s="3785">
        <v>30000</v>
      </c>
      <c r="I12" s="4129">
        <f t="shared" si="0"/>
        <v>10332</v>
      </c>
      <c r="J12" s="4130">
        <v>10332</v>
      </c>
      <c r="K12" s="4131"/>
      <c r="L12" s="5131"/>
    </row>
    <row r="13" spans="1:12" s="6" customFormat="1">
      <c r="A13" s="5166"/>
      <c r="B13" s="5149"/>
      <c r="C13" s="5159"/>
      <c r="D13" s="4133"/>
      <c r="E13" s="4134"/>
      <c r="F13" s="4135"/>
      <c r="G13" s="3784" t="s">
        <v>24</v>
      </c>
      <c r="H13" s="3785">
        <v>210000</v>
      </c>
      <c r="I13" s="4129">
        <f t="shared" si="0"/>
        <v>168440.44</v>
      </c>
      <c r="J13" s="4130"/>
      <c r="K13" s="4131">
        <v>168440.44</v>
      </c>
      <c r="L13" s="5131"/>
    </row>
    <row r="14" spans="1:12" s="6" customFormat="1">
      <c r="A14" s="5166"/>
      <c r="B14" s="5149"/>
      <c r="C14" s="5159"/>
      <c r="D14" s="4133"/>
      <c r="E14" s="4134"/>
      <c r="F14" s="4135"/>
      <c r="G14" s="3784" t="s">
        <v>25</v>
      </c>
      <c r="H14" s="3785">
        <v>8759408</v>
      </c>
      <c r="I14" s="4129">
        <f t="shared" si="0"/>
        <v>8359341.3899999997</v>
      </c>
      <c r="J14" s="4130"/>
      <c r="K14" s="4131">
        <v>8359341.3899999997</v>
      </c>
      <c r="L14" s="5131"/>
    </row>
    <row r="15" spans="1:12" s="6" customFormat="1" ht="15" thickBot="1">
      <c r="A15" s="5166"/>
      <c r="B15" s="5149"/>
      <c r="C15" s="5159"/>
      <c r="D15" s="4133"/>
      <c r="E15" s="4134"/>
      <c r="F15" s="4135"/>
      <c r="G15" s="3784" t="s">
        <v>26</v>
      </c>
      <c r="H15" s="3785">
        <v>180000</v>
      </c>
      <c r="I15" s="4129">
        <f t="shared" si="0"/>
        <v>19000</v>
      </c>
      <c r="J15" s="4130"/>
      <c r="K15" s="4131">
        <v>19000</v>
      </c>
      <c r="L15" s="5131"/>
    </row>
    <row r="16" spans="1:12" ht="30" customHeight="1" thickBot="1">
      <c r="A16" s="4111" t="s">
        <v>27</v>
      </c>
      <c r="B16" s="4136"/>
      <c r="C16" s="4137" t="s">
        <v>28</v>
      </c>
      <c r="D16" s="4138"/>
      <c r="E16" s="4115">
        <f>SUM(E17,E21,E23)</f>
        <v>6875000</v>
      </c>
      <c r="F16" s="4116">
        <f>SUM(F17,F21,F23)</f>
        <v>31875000</v>
      </c>
      <c r="G16" s="4115"/>
      <c r="H16" s="4118">
        <f>SUM(H17,H21,H23)</f>
        <v>50943925</v>
      </c>
      <c r="I16" s="4119">
        <f>SUM(I17,I21,I23)</f>
        <v>37365830.960000001</v>
      </c>
      <c r="J16" s="4116">
        <f>SUM(J17,J21,J23)</f>
        <v>19300391.600000001</v>
      </c>
      <c r="K16" s="4119">
        <f>SUM(K17,K21,K23)</f>
        <v>18065439.359999999</v>
      </c>
      <c r="L16" s="5162" t="s">
        <v>31</v>
      </c>
    </row>
    <row r="17" spans="1:14" s="6" customFormat="1" ht="31.5" customHeight="1">
      <c r="A17" s="4139"/>
      <c r="B17" s="4100" t="s">
        <v>29</v>
      </c>
      <c r="C17" s="4101" t="s">
        <v>30</v>
      </c>
      <c r="D17" s="4102"/>
      <c r="E17" s="4122">
        <f>SUM(E18:E18)</f>
        <v>6875000</v>
      </c>
      <c r="F17" s="4123">
        <f>SUM(F18:F18)</f>
        <v>6875000</v>
      </c>
      <c r="G17" s="4122"/>
      <c r="H17" s="4124">
        <f>SUM(H18:H20)</f>
        <v>29717080</v>
      </c>
      <c r="I17" s="4125">
        <f>SUM(I18:I20)</f>
        <v>25291721.600000001</v>
      </c>
      <c r="J17" s="4123">
        <f>SUM(J18:J20)</f>
        <v>19300391.600000001</v>
      </c>
      <c r="K17" s="4125">
        <f>SUM(K18:K20)</f>
        <v>5991330</v>
      </c>
      <c r="L17" s="5144"/>
    </row>
    <row r="18" spans="1:14" s="6" customFormat="1" ht="15">
      <c r="A18" s="4140"/>
      <c r="B18" s="4141"/>
      <c r="C18" s="4142"/>
      <c r="D18" s="188" t="s">
        <v>32</v>
      </c>
      <c r="E18" s="488">
        <v>6875000</v>
      </c>
      <c r="F18" s="100">
        <v>6875000</v>
      </c>
      <c r="G18" s="473" t="s">
        <v>33</v>
      </c>
      <c r="H18" s="4143">
        <v>6050000</v>
      </c>
      <c r="I18" s="4129">
        <f>J18+K18</f>
        <v>4973200</v>
      </c>
      <c r="J18" s="4130">
        <v>4973200</v>
      </c>
      <c r="K18" s="4131"/>
      <c r="L18" s="5144"/>
    </row>
    <row r="19" spans="1:14" s="6" customFormat="1" ht="15">
      <c r="A19" s="4144"/>
      <c r="B19" s="472"/>
      <c r="C19" s="477"/>
      <c r="D19" s="4126"/>
      <c r="E19" s="4145"/>
      <c r="F19" s="4146"/>
      <c r="G19" s="3784" t="s">
        <v>87</v>
      </c>
      <c r="H19" s="4147">
        <v>17167080</v>
      </c>
      <c r="I19" s="4129">
        <f t="shared" ref="I19:I20" si="1">J19+K19</f>
        <v>14327191.6</v>
      </c>
      <c r="J19" s="3786">
        <v>14327191.6</v>
      </c>
      <c r="K19" s="3787"/>
      <c r="L19" s="5144"/>
    </row>
    <row r="20" spans="1:14" s="6" customFormat="1" ht="15">
      <c r="A20" s="4144"/>
      <c r="B20" s="472"/>
      <c r="C20" s="477"/>
      <c r="D20" s="188"/>
      <c r="E20" s="488"/>
      <c r="F20" s="100"/>
      <c r="G20" s="473" t="s">
        <v>24</v>
      </c>
      <c r="H20" s="310">
        <v>6500000</v>
      </c>
      <c r="I20" s="4129">
        <f t="shared" si="1"/>
        <v>5991330</v>
      </c>
      <c r="J20" s="266"/>
      <c r="K20" s="101">
        <v>5991330</v>
      </c>
      <c r="L20" s="5145"/>
    </row>
    <row r="21" spans="1:14" s="6" customFormat="1" ht="30" customHeight="1">
      <c r="A21" s="5143"/>
      <c r="B21" s="4148" t="s">
        <v>84</v>
      </c>
      <c r="C21" s="4149" t="s">
        <v>85</v>
      </c>
      <c r="D21" s="4150"/>
      <c r="E21" s="4151">
        <f>SUM(E22:E22)</f>
        <v>0</v>
      </c>
      <c r="F21" s="4152">
        <f>SUM(F22:F22)</f>
        <v>25000000</v>
      </c>
      <c r="G21" s="4151"/>
      <c r="H21" s="4153">
        <f>SUM(H22)</f>
        <v>0</v>
      </c>
      <c r="I21" s="4151">
        <f t="shared" ref="I21:K21" si="2">SUM(I22)</f>
        <v>0</v>
      </c>
      <c r="J21" s="4153">
        <f t="shared" si="2"/>
        <v>0</v>
      </c>
      <c r="K21" s="4151">
        <f t="shared" si="2"/>
        <v>0</v>
      </c>
      <c r="L21" s="5162" t="s">
        <v>212</v>
      </c>
    </row>
    <row r="22" spans="1:14" s="6" customFormat="1" ht="30" customHeight="1">
      <c r="A22" s="5143"/>
      <c r="B22" s="4155"/>
      <c r="C22" s="4156"/>
      <c r="D22" s="4126" t="s">
        <v>213</v>
      </c>
      <c r="E22" s="4145">
        <v>0</v>
      </c>
      <c r="F22" s="4146">
        <v>25000000</v>
      </c>
      <c r="G22" s="4251"/>
      <c r="H22" s="4195"/>
      <c r="I22" s="118">
        <f>SUM(J22:K22)</f>
        <v>0</v>
      </c>
      <c r="J22" s="4252"/>
      <c r="K22" s="4250"/>
      <c r="L22" s="5144"/>
    </row>
    <row r="23" spans="1:14" s="6" customFormat="1" ht="30" customHeight="1">
      <c r="A23" s="5143"/>
      <c r="B23" s="4148" t="s">
        <v>90</v>
      </c>
      <c r="C23" s="4149" t="s">
        <v>214</v>
      </c>
      <c r="D23" s="4150"/>
      <c r="E23" s="4151">
        <f>SUM(E24:E24)</f>
        <v>0</v>
      </c>
      <c r="F23" s="4152">
        <f>SUM(F24:F24)</f>
        <v>0</v>
      </c>
      <c r="G23" s="4151"/>
      <c r="H23" s="4153">
        <f>SUM(H24)</f>
        <v>21226845</v>
      </c>
      <c r="I23" s="4154">
        <f>SUM(I24)</f>
        <v>12074109.359999999</v>
      </c>
      <c r="J23" s="4152">
        <f>SUM(J24)</f>
        <v>0</v>
      </c>
      <c r="K23" s="4154">
        <f>SUM(K24)</f>
        <v>12074109.359999999</v>
      </c>
      <c r="L23" s="5144"/>
    </row>
    <row r="24" spans="1:14" s="6" customFormat="1" ht="30" customHeight="1" thickBot="1">
      <c r="A24" s="5143"/>
      <c r="B24" s="4155"/>
      <c r="C24" s="4156"/>
      <c r="D24" s="4126"/>
      <c r="E24" s="4145">
        <v>0</v>
      </c>
      <c r="F24" s="4146"/>
      <c r="G24" s="3784" t="s">
        <v>89</v>
      </c>
      <c r="H24" s="4147">
        <v>21226845</v>
      </c>
      <c r="I24" s="4129">
        <f>SUM(J24:K24)</f>
        <v>12074109.359999999</v>
      </c>
      <c r="J24" s="4128"/>
      <c r="K24" s="3787">
        <v>12074109.359999999</v>
      </c>
      <c r="L24" s="5145"/>
    </row>
    <row r="25" spans="1:14" ht="75.75" thickBot="1">
      <c r="A25" s="4111" t="s">
        <v>34</v>
      </c>
      <c r="B25" s="4136"/>
      <c r="C25" s="4137" t="s">
        <v>35</v>
      </c>
      <c r="D25" s="4138"/>
      <c r="E25" s="4115">
        <f>SUM(E26)</f>
        <v>536500</v>
      </c>
      <c r="F25" s="4116">
        <f t="shared" ref="F25:K25" si="3">SUM(F26)</f>
        <v>575598</v>
      </c>
      <c r="G25" s="4115"/>
      <c r="H25" s="4118">
        <f>SUM(H26)</f>
        <v>0</v>
      </c>
      <c r="I25" s="4119">
        <f t="shared" si="3"/>
        <v>0</v>
      </c>
      <c r="J25" s="4116">
        <f t="shared" si="3"/>
        <v>0</v>
      </c>
      <c r="K25" s="4119">
        <f t="shared" si="3"/>
        <v>0</v>
      </c>
      <c r="L25" s="5162" t="s">
        <v>36</v>
      </c>
    </row>
    <row r="26" spans="1:14" s="6" customFormat="1" ht="51" customHeight="1">
      <c r="A26" s="5154"/>
      <c r="B26" s="4100" t="s">
        <v>37</v>
      </c>
      <c r="C26" s="4101" t="s">
        <v>38</v>
      </c>
      <c r="D26" s="4102"/>
      <c r="E26" s="4122">
        <f>SUM(E27:E27)</f>
        <v>536500</v>
      </c>
      <c r="F26" s="4123">
        <f>SUM(F27:F27)</f>
        <v>575598</v>
      </c>
      <c r="G26" s="4122"/>
      <c r="H26" s="4124">
        <f>SUM(H27:H27)</f>
        <v>0</v>
      </c>
      <c r="I26" s="4125">
        <f>SUM(I27:I27)</f>
        <v>0</v>
      </c>
      <c r="J26" s="4123">
        <f>SUM(J27:J27)</f>
        <v>0</v>
      </c>
      <c r="K26" s="4125">
        <f>SUM(K27:K27)</f>
        <v>0</v>
      </c>
      <c r="L26" s="5144"/>
    </row>
    <row r="27" spans="1:14" s="6" customFormat="1" ht="21" customHeight="1" thickBot="1">
      <c r="A27" s="5154"/>
      <c r="B27" s="4155"/>
      <c r="C27" s="4156"/>
      <c r="D27" s="188" t="s">
        <v>39</v>
      </c>
      <c r="E27" s="488">
        <v>536500</v>
      </c>
      <c r="F27" s="100">
        <v>575598</v>
      </c>
      <c r="G27" s="473"/>
      <c r="H27" s="4143"/>
      <c r="I27" s="4129"/>
      <c r="J27" s="4130"/>
      <c r="K27" s="4131"/>
      <c r="L27" s="5145"/>
    </row>
    <row r="28" spans="1:14" ht="30" customHeight="1" thickBot="1">
      <c r="A28" s="4111" t="s">
        <v>40</v>
      </c>
      <c r="B28" s="4136"/>
      <c r="C28" s="4137" t="s">
        <v>41</v>
      </c>
      <c r="D28" s="4138"/>
      <c r="E28" s="4115">
        <f>E31+E33+E29</f>
        <v>0</v>
      </c>
      <c r="F28" s="4116">
        <f>F31+F33+F29</f>
        <v>0</v>
      </c>
      <c r="G28" s="4115"/>
      <c r="H28" s="4118">
        <f>H31+H33+H29</f>
        <v>6349200</v>
      </c>
      <c r="I28" s="4119">
        <f>I31+I33+I29</f>
        <v>409538.06000000006</v>
      </c>
      <c r="J28" s="4119">
        <f>J31+J33+J29</f>
        <v>369538.06000000006</v>
      </c>
      <c r="K28" s="4116">
        <f>K31+K33+K29</f>
        <v>40000</v>
      </c>
      <c r="L28" s="5144" t="s">
        <v>212</v>
      </c>
      <c r="M28" s="7"/>
      <c r="N28" s="7"/>
    </row>
    <row r="29" spans="1:14" s="6" customFormat="1" ht="33.75" customHeight="1">
      <c r="A29" s="4157"/>
      <c r="B29" s="4100" t="s">
        <v>354</v>
      </c>
      <c r="C29" s="4101" t="s">
        <v>355</v>
      </c>
      <c r="D29" s="4102"/>
      <c r="E29" s="4158">
        <f>SUM(E30:E30)</f>
        <v>0</v>
      </c>
      <c r="F29" s="4104">
        <f>SUM(F30:F30)</f>
        <v>0</v>
      </c>
      <c r="G29" s="4103"/>
      <c r="H29" s="4105">
        <f>SUM(H30:H30)</f>
        <v>5900000</v>
      </c>
      <c r="I29" s="4159">
        <f>SUM(I30:I30)</f>
        <v>0</v>
      </c>
      <c r="J29" s="4104">
        <f>SUM(J30:J30)</f>
        <v>0</v>
      </c>
      <c r="K29" s="4106">
        <f>SUM(K30:K30)</f>
        <v>0</v>
      </c>
      <c r="L29" s="5144"/>
    </row>
    <row r="30" spans="1:14" s="6" customFormat="1" ht="23.25" customHeight="1" thickBot="1">
      <c r="A30" s="4160"/>
      <c r="B30" s="225"/>
      <c r="C30" s="226"/>
      <c r="D30" s="4161"/>
      <c r="E30" s="262"/>
      <c r="F30" s="4162"/>
      <c r="G30" s="10" t="s">
        <v>112</v>
      </c>
      <c r="H30" s="4163">
        <f>2800000+2800000+300000</f>
        <v>5900000</v>
      </c>
      <c r="I30" s="121">
        <f>J30+K30</f>
        <v>0</v>
      </c>
      <c r="J30" s="4164"/>
      <c r="K30" s="311"/>
      <c r="L30" s="5164"/>
      <c r="N30" s="8"/>
    </row>
    <row r="31" spans="1:14" s="6" customFormat="1" ht="24.75" customHeight="1">
      <c r="A31" s="4165"/>
      <c r="B31" s="4166" t="s">
        <v>42</v>
      </c>
      <c r="C31" s="4167" t="s">
        <v>43</v>
      </c>
      <c r="D31" s="4168"/>
      <c r="E31" s="4158">
        <f>SUM(E32:E32)</f>
        <v>0</v>
      </c>
      <c r="F31" s="4169">
        <f>SUM(F32:F32)</f>
        <v>0</v>
      </c>
      <c r="G31" s="4158"/>
      <c r="H31" s="4170">
        <f>SUM(H32:H32)</f>
        <v>150000</v>
      </c>
      <c r="I31" s="4159">
        <f>SUM(I32:I32)</f>
        <v>111280</v>
      </c>
      <c r="J31" s="4169">
        <f>SUM(J32:J32)</f>
        <v>111280</v>
      </c>
      <c r="K31" s="4159">
        <f>SUM(K32:K32)</f>
        <v>0</v>
      </c>
      <c r="L31" s="5163" t="s">
        <v>36</v>
      </c>
    </row>
    <row r="32" spans="1:14" s="6" customFormat="1" ht="20.25" customHeight="1" thickBot="1">
      <c r="A32" s="4099"/>
      <c r="B32" s="225"/>
      <c r="C32" s="226"/>
      <c r="D32" s="4161"/>
      <c r="E32" s="262"/>
      <c r="F32" s="4162"/>
      <c r="G32" s="10" t="s">
        <v>44</v>
      </c>
      <c r="H32" s="4163">
        <v>150000</v>
      </c>
      <c r="I32" s="121">
        <f>J32+K32</f>
        <v>111280</v>
      </c>
      <c r="J32" s="4164">
        <v>111280</v>
      </c>
      <c r="K32" s="311"/>
      <c r="L32" s="5144"/>
      <c r="N32" s="8"/>
    </row>
    <row r="33" spans="1:14" s="6" customFormat="1" ht="24.75" customHeight="1">
      <c r="A33" s="4099"/>
      <c r="B33" s="4100" t="s">
        <v>45</v>
      </c>
      <c r="C33" s="4101" t="s">
        <v>46</v>
      </c>
      <c r="D33" s="4102"/>
      <c r="E33" s="4103">
        <f>SUM(E34:E38)</f>
        <v>0</v>
      </c>
      <c r="F33" s="4104">
        <f t="shared" ref="F33" si="4">SUM(F34:F38)</f>
        <v>0</v>
      </c>
      <c r="G33" s="4103"/>
      <c r="H33" s="4105">
        <f>SUM(H34:H38)</f>
        <v>299200</v>
      </c>
      <c r="I33" s="4106">
        <f>SUM(I34:I38)</f>
        <v>298258.06000000006</v>
      </c>
      <c r="J33" s="4104">
        <f>SUM(J34:J38)</f>
        <v>258258.06000000003</v>
      </c>
      <c r="K33" s="4106">
        <f>SUM(K34:K38)</f>
        <v>40000</v>
      </c>
      <c r="L33" s="5144"/>
      <c r="N33" s="8"/>
    </row>
    <row r="34" spans="1:14" s="185" customFormat="1" ht="18" customHeight="1">
      <c r="A34" s="4099"/>
      <c r="B34" s="5160"/>
      <c r="C34" s="5146"/>
      <c r="D34" s="4132"/>
      <c r="E34" s="4145"/>
      <c r="F34" s="4146"/>
      <c r="G34" s="3780" t="s">
        <v>44</v>
      </c>
      <c r="H34" s="3785">
        <v>229200</v>
      </c>
      <c r="I34" s="4129">
        <f>J34+K34</f>
        <v>228454.21</v>
      </c>
      <c r="J34" s="3786">
        <v>228454.21</v>
      </c>
      <c r="K34" s="3787"/>
      <c r="L34" s="5144"/>
    </row>
    <row r="35" spans="1:14" s="185" customFormat="1" ht="21" customHeight="1">
      <c r="A35" s="4099"/>
      <c r="B35" s="5161"/>
      <c r="C35" s="5147"/>
      <c r="D35" s="4126"/>
      <c r="E35" s="4145"/>
      <c r="F35" s="4146"/>
      <c r="G35" s="3780" t="s">
        <v>47</v>
      </c>
      <c r="H35" s="3816">
        <v>24000</v>
      </c>
      <c r="I35" s="4129">
        <f t="shared" ref="I35:I38" si="5">J35+K35</f>
        <v>23818.95</v>
      </c>
      <c r="J35" s="3817">
        <v>23818.95</v>
      </c>
      <c r="K35" s="3782"/>
      <c r="L35" s="5144"/>
    </row>
    <row r="36" spans="1:14" s="185" customFormat="1" ht="17.25" customHeight="1">
      <c r="A36" s="4099"/>
      <c r="B36" s="5161"/>
      <c r="C36" s="5147"/>
      <c r="D36" s="4126"/>
      <c r="E36" s="4145"/>
      <c r="F36" s="4146"/>
      <c r="G36" s="3784" t="s">
        <v>22</v>
      </c>
      <c r="H36" s="3785">
        <v>2000</v>
      </c>
      <c r="I36" s="4129">
        <f t="shared" si="5"/>
        <v>1999.7</v>
      </c>
      <c r="J36" s="3786">
        <v>1999.7</v>
      </c>
      <c r="K36" s="3787"/>
      <c r="L36" s="5144"/>
    </row>
    <row r="37" spans="1:14" s="185" customFormat="1" ht="19.5" customHeight="1">
      <c r="A37" s="4099"/>
      <c r="B37" s="5161"/>
      <c r="C37" s="5147"/>
      <c r="D37" s="4126"/>
      <c r="E37" s="4145"/>
      <c r="F37" s="4146"/>
      <c r="G37" s="473" t="s">
        <v>23</v>
      </c>
      <c r="H37" s="265">
        <v>4000</v>
      </c>
      <c r="I37" s="4129">
        <f t="shared" si="5"/>
        <v>3985.2</v>
      </c>
      <c r="J37" s="266">
        <v>3985.2</v>
      </c>
      <c r="K37" s="101"/>
      <c r="L37" s="5144"/>
      <c r="N37" s="187"/>
    </row>
    <row r="38" spans="1:14" s="185" customFormat="1" ht="15" customHeight="1" thickBot="1">
      <c r="A38" s="4171"/>
      <c r="B38" s="473"/>
      <c r="C38" s="474"/>
      <c r="D38" s="188"/>
      <c r="E38" s="488"/>
      <c r="F38" s="100"/>
      <c r="G38" s="10" t="s">
        <v>25</v>
      </c>
      <c r="H38" s="4172">
        <v>40000</v>
      </c>
      <c r="I38" s="4129">
        <f t="shared" si="5"/>
        <v>40000</v>
      </c>
      <c r="J38" s="4173"/>
      <c r="K38" s="267">
        <v>40000</v>
      </c>
      <c r="L38" s="5144"/>
    </row>
    <row r="39" spans="1:14" s="185" customFormat="1" ht="30" customHeight="1" thickBot="1">
      <c r="A39" s="4111" t="s">
        <v>48</v>
      </c>
      <c r="B39" s="4136"/>
      <c r="C39" s="4137" t="s">
        <v>49</v>
      </c>
      <c r="D39" s="4174"/>
      <c r="E39" s="4115">
        <f>SUM(E40)</f>
        <v>0</v>
      </c>
      <c r="F39" s="4116">
        <f t="shared" ref="F39:K39" si="6">SUM(F40)</f>
        <v>0</v>
      </c>
      <c r="G39" s="4115"/>
      <c r="H39" s="4118">
        <f t="shared" si="6"/>
        <v>100000</v>
      </c>
      <c r="I39" s="4119">
        <f t="shared" si="6"/>
        <v>91167.5</v>
      </c>
      <c r="J39" s="4116">
        <f t="shared" si="6"/>
        <v>91167.5</v>
      </c>
      <c r="K39" s="4119">
        <f t="shared" si="6"/>
        <v>0</v>
      </c>
      <c r="L39" s="5144"/>
      <c r="N39" s="187"/>
    </row>
    <row r="40" spans="1:14" s="185" customFormat="1" ht="33.75" customHeight="1">
      <c r="A40" s="5153"/>
      <c r="B40" s="4100" t="s">
        <v>50</v>
      </c>
      <c r="C40" s="4101" t="s">
        <v>51</v>
      </c>
      <c r="D40" s="4102"/>
      <c r="E40" s="4103">
        <f>SUM(E41:E42)</f>
        <v>0</v>
      </c>
      <c r="F40" s="4169">
        <f t="shared" ref="F40:K40" si="7">SUM(F41:F42)</f>
        <v>0</v>
      </c>
      <c r="G40" s="4103"/>
      <c r="H40" s="4105">
        <f t="shared" si="7"/>
        <v>100000</v>
      </c>
      <c r="I40" s="4159">
        <f t="shared" si="7"/>
        <v>91167.5</v>
      </c>
      <c r="J40" s="4169">
        <f t="shared" si="7"/>
        <v>91167.5</v>
      </c>
      <c r="K40" s="4106">
        <f t="shared" si="7"/>
        <v>0</v>
      </c>
      <c r="L40" s="5144"/>
    </row>
    <row r="41" spans="1:14" s="185" customFormat="1" ht="17.25" customHeight="1" thickBot="1">
      <c r="A41" s="5154"/>
      <c r="B41" s="5156"/>
      <c r="C41" s="5140"/>
      <c r="D41" s="4175"/>
      <c r="E41" s="263"/>
      <c r="F41" s="4176"/>
      <c r="G41" s="264" t="s">
        <v>44</v>
      </c>
      <c r="H41" s="4177">
        <v>100000</v>
      </c>
      <c r="I41" s="121">
        <f t="shared" ref="I41" si="8">J41+K41</f>
        <v>91167.5</v>
      </c>
      <c r="J41" s="4176">
        <v>91167.5</v>
      </c>
      <c r="K41" s="217"/>
      <c r="L41" s="5144"/>
    </row>
    <row r="42" spans="1:14" s="185" customFormat="1" ht="18.75" hidden="1" customHeight="1" thickBot="1">
      <c r="A42" s="5154"/>
      <c r="B42" s="5157"/>
      <c r="C42" s="5141"/>
      <c r="D42" s="188" t="s">
        <v>201</v>
      </c>
      <c r="E42" s="488"/>
      <c r="F42" s="100"/>
      <c r="G42" s="473"/>
      <c r="H42" s="265"/>
      <c r="I42" s="118"/>
      <c r="J42" s="266"/>
      <c r="K42" s="101"/>
      <c r="L42" s="460"/>
    </row>
    <row r="43" spans="1:14" s="185" customFormat="1" ht="28.5" hidden="1" customHeight="1">
      <c r="A43" s="5154"/>
      <c r="B43" s="4148" t="s">
        <v>52</v>
      </c>
      <c r="C43" s="4149" t="s">
        <v>53</v>
      </c>
      <c r="D43" s="4150"/>
      <c r="E43" s="4178"/>
      <c r="F43" s="4179"/>
      <c r="G43" s="4148"/>
      <c r="H43" s="4180">
        <f>H44</f>
        <v>0</v>
      </c>
      <c r="I43" s="4181">
        <f t="shared" ref="I43:J43" si="9">I44</f>
        <v>0</v>
      </c>
      <c r="J43" s="4179">
        <f t="shared" si="9"/>
        <v>0</v>
      </c>
      <c r="K43" s="4181">
        <f>K44</f>
        <v>0</v>
      </c>
      <c r="L43" s="460"/>
      <c r="N43" s="187"/>
    </row>
    <row r="44" spans="1:14" s="185" customFormat="1" ht="30.75" hidden="1" customHeight="1" thickBot="1">
      <c r="A44" s="5155"/>
      <c r="B44" s="484"/>
      <c r="C44" s="494"/>
      <c r="D44" s="224"/>
      <c r="E44" s="489"/>
      <c r="F44" s="89"/>
      <c r="G44" s="484" t="s">
        <v>54</v>
      </c>
      <c r="H44" s="190"/>
      <c r="I44" s="91">
        <f t="shared" ref="I44" si="10">SUM(J44:K44)</f>
        <v>0</v>
      </c>
      <c r="J44" s="497"/>
      <c r="K44" s="498"/>
      <c r="L44" s="461"/>
    </row>
    <row r="45" spans="1:14" s="11" customFormat="1" ht="30" customHeight="1" thickBot="1">
      <c r="A45" s="4111" t="s">
        <v>55</v>
      </c>
      <c r="B45" s="4182"/>
      <c r="C45" s="4137" t="s">
        <v>56</v>
      </c>
      <c r="D45" s="4183"/>
      <c r="E45" s="4115">
        <f>SUM(E46,E52,E59,E64)</f>
        <v>612150</v>
      </c>
      <c r="F45" s="4116">
        <f>SUM(F46,F52,F59,F64)</f>
        <v>974766.07000000007</v>
      </c>
      <c r="G45" s="4115"/>
      <c r="H45" s="4118">
        <f>SUM(H46,H52,H59,H64)</f>
        <v>1103901</v>
      </c>
      <c r="I45" s="4119">
        <f>SUM(I46,I52,I59,I64)</f>
        <v>1079630.19</v>
      </c>
      <c r="J45" s="4116">
        <f>SUM(J46,J52,J59,J64)</f>
        <v>1079630.19</v>
      </c>
      <c r="K45" s="4119">
        <f>SUM(K46,K52,K59,K64)</f>
        <v>0</v>
      </c>
      <c r="L45" s="4184" t="s">
        <v>202</v>
      </c>
    </row>
    <row r="46" spans="1:14" s="6" customFormat="1" ht="47.25" customHeight="1">
      <c r="A46" s="5142"/>
      <c r="B46" s="4100" t="s">
        <v>58</v>
      </c>
      <c r="C46" s="4101" t="s">
        <v>59</v>
      </c>
      <c r="D46" s="4102"/>
      <c r="E46" s="4122">
        <f>SUM(E47:E49)</f>
        <v>350000</v>
      </c>
      <c r="F46" s="4123">
        <f>SUM(F47:F49)</f>
        <v>484459.77</v>
      </c>
      <c r="G46" s="4122"/>
      <c r="H46" s="4124">
        <f>SUM(H47:H51)</f>
        <v>455268</v>
      </c>
      <c r="I46" s="4125">
        <f>SUM(I47:I51)</f>
        <v>444576.6</v>
      </c>
      <c r="J46" s="4123">
        <f>SUM(J47:J51)</f>
        <v>444576.6</v>
      </c>
      <c r="K46" s="4125">
        <f>SUM(K47:K51)</f>
        <v>0</v>
      </c>
      <c r="L46" s="5144" t="s">
        <v>57</v>
      </c>
    </row>
    <row r="47" spans="1:14" s="185" customFormat="1" ht="14.25" customHeight="1">
      <c r="A47" s="5143"/>
      <c r="B47" s="4185"/>
      <c r="C47" s="5146"/>
      <c r="D47" s="4126" t="s">
        <v>60</v>
      </c>
      <c r="E47" s="4145">
        <v>0</v>
      </c>
      <c r="F47" s="4186">
        <v>866.17</v>
      </c>
      <c r="G47" s="473" t="s">
        <v>61</v>
      </c>
      <c r="H47" s="4187">
        <v>347933</v>
      </c>
      <c r="I47" s="3815">
        <f>J47+K47</f>
        <v>347933</v>
      </c>
      <c r="J47" s="266">
        <v>347933</v>
      </c>
      <c r="K47" s="97"/>
      <c r="L47" s="5144"/>
    </row>
    <row r="48" spans="1:14" s="185" customFormat="1" ht="15" customHeight="1">
      <c r="A48" s="5143"/>
      <c r="B48" s="12"/>
      <c r="C48" s="5147"/>
      <c r="D48" s="4126" t="s">
        <v>179</v>
      </c>
      <c r="E48" s="4145">
        <v>0</v>
      </c>
      <c r="F48" s="4186">
        <v>168</v>
      </c>
      <c r="G48" s="3784" t="s">
        <v>62</v>
      </c>
      <c r="H48" s="3785">
        <v>59810</v>
      </c>
      <c r="I48" s="3815">
        <f t="shared" ref="I48:I51" si="11">J48+K48</f>
        <v>59810</v>
      </c>
      <c r="J48" s="3786">
        <v>59810</v>
      </c>
      <c r="K48" s="3787"/>
      <c r="L48" s="5144"/>
    </row>
    <row r="49" spans="1:12" s="185" customFormat="1" ht="15" customHeight="1">
      <c r="A49" s="5143"/>
      <c r="B49" s="12"/>
      <c r="C49" s="5147"/>
      <c r="D49" s="4126" t="s">
        <v>18</v>
      </c>
      <c r="E49" s="4145">
        <v>350000</v>
      </c>
      <c r="F49" s="4146">
        <f>969.83+482455.77</f>
        <v>483425.60000000003</v>
      </c>
      <c r="G49" s="3784" t="s">
        <v>63</v>
      </c>
      <c r="H49" s="3785">
        <v>8525</v>
      </c>
      <c r="I49" s="3815">
        <f t="shared" si="11"/>
        <v>8525</v>
      </c>
      <c r="J49" s="3786">
        <v>8525</v>
      </c>
      <c r="K49" s="3787"/>
      <c r="L49" s="5144"/>
    </row>
    <row r="50" spans="1:12" s="185" customFormat="1" ht="15" customHeight="1">
      <c r="A50" s="5143"/>
      <c r="B50" s="12"/>
      <c r="C50" s="474"/>
      <c r="D50" s="4126"/>
      <c r="E50" s="4145"/>
      <c r="F50" s="4146"/>
      <c r="G50" s="3784" t="s">
        <v>22</v>
      </c>
      <c r="H50" s="3785">
        <v>24000</v>
      </c>
      <c r="I50" s="3815">
        <f t="shared" si="11"/>
        <v>19330.62</v>
      </c>
      <c r="J50" s="3786">
        <v>19330.62</v>
      </c>
      <c r="K50" s="3787"/>
      <c r="L50" s="5144"/>
    </row>
    <row r="51" spans="1:12" s="185" customFormat="1" ht="15" customHeight="1">
      <c r="A51" s="5143"/>
      <c r="B51" s="12"/>
      <c r="C51" s="474"/>
      <c r="D51" s="4188"/>
      <c r="E51" s="4145"/>
      <c r="F51" s="4146"/>
      <c r="G51" s="3784" t="s">
        <v>64</v>
      </c>
      <c r="H51" s="3785">
        <v>15000</v>
      </c>
      <c r="I51" s="3815">
        <f t="shared" si="11"/>
        <v>8977.98</v>
      </c>
      <c r="J51" s="3786">
        <v>8977.98</v>
      </c>
      <c r="K51" s="3787"/>
      <c r="L51" s="5145"/>
    </row>
    <row r="52" spans="1:12" s="13" customFormat="1" ht="50.25" customHeight="1">
      <c r="A52" s="5143"/>
      <c r="B52" s="4148" t="s">
        <v>65</v>
      </c>
      <c r="C52" s="4189" t="s">
        <v>66</v>
      </c>
      <c r="D52" s="4150"/>
      <c r="E52" s="4151">
        <f>SUM(E53:E58)</f>
        <v>111100</v>
      </c>
      <c r="F52" s="4152">
        <f>SUM(F53:F58)</f>
        <v>289449.33000000007</v>
      </c>
      <c r="G52" s="4151"/>
      <c r="H52" s="4153">
        <f>SUM(H53:H58)</f>
        <v>307246</v>
      </c>
      <c r="I52" s="4154">
        <f>SUM(I53:I58)</f>
        <v>296666.59000000003</v>
      </c>
      <c r="J52" s="4152">
        <f>SUM(J53:J58)</f>
        <v>296666.59000000003</v>
      </c>
      <c r="K52" s="4154">
        <f>SUM(K53:K58)</f>
        <v>0</v>
      </c>
      <c r="L52" s="5130" t="s">
        <v>67</v>
      </c>
    </row>
    <row r="53" spans="1:12" s="189" customFormat="1" ht="19.5" customHeight="1">
      <c r="A53" s="5143"/>
      <c r="B53" s="5148"/>
      <c r="C53" s="5150"/>
      <c r="D53" s="4132" t="s">
        <v>68</v>
      </c>
      <c r="E53" s="4145">
        <v>50000</v>
      </c>
      <c r="F53" s="4146">
        <v>78674.12</v>
      </c>
      <c r="G53" s="3780" t="s">
        <v>61</v>
      </c>
      <c r="H53" s="3785">
        <v>240092</v>
      </c>
      <c r="I53" s="4190">
        <f>J53+K53</f>
        <v>240092</v>
      </c>
      <c r="J53" s="4191">
        <v>240092</v>
      </c>
      <c r="K53" s="4190"/>
      <c r="L53" s="5131"/>
    </row>
    <row r="54" spans="1:12" s="189" customFormat="1" ht="19.5" customHeight="1">
      <c r="A54" s="5143"/>
      <c r="B54" s="5149"/>
      <c r="C54" s="5151"/>
      <c r="D54" s="4132" t="s">
        <v>69</v>
      </c>
      <c r="E54" s="4145">
        <v>60000</v>
      </c>
      <c r="F54" s="4146">
        <v>184768.54</v>
      </c>
      <c r="G54" s="3780" t="s">
        <v>62</v>
      </c>
      <c r="H54" s="3785">
        <v>41272</v>
      </c>
      <c r="I54" s="4190">
        <f t="shared" ref="I54" si="12">J54+K54</f>
        <v>41272</v>
      </c>
      <c r="J54" s="4191">
        <v>41272</v>
      </c>
      <c r="K54" s="4190"/>
      <c r="L54" s="5131"/>
    </row>
    <row r="55" spans="1:12" s="189" customFormat="1" ht="18" customHeight="1">
      <c r="A55" s="5143"/>
      <c r="B55" s="5149"/>
      <c r="C55" s="5151"/>
      <c r="D55" s="4132" t="s">
        <v>70</v>
      </c>
      <c r="E55" s="4145">
        <v>1000</v>
      </c>
      <c r="F55" s="4146">
        <v>24727.84</v>
      </c>
      <c r="G55" s="3780" t="s">
        <v>63</v>
      </c>
      <c r="H55" s="3785">
        <v>5882</v>
      </c>
      <c r="I55" s="4190">
        <v>5882</v>
      </c>
      <c r="J55" s="4191">
        <v>5882</v>
      </c>
      <c r="K55" s="4190"/>
      <c r="L55" s="5131"/>
    </row>
    <row r="56" spans="1:12" s="189" customFormat="1" ht="17.25" customHeight="1">
      <c r="A56" s="5143"/>
      <c r="B56" s="5149"/>
      <c r="C56" s="5151"/>
      <c r="D56" s="4132" t="s">
        <v>180</v>
      </c>
      <c r="E56" s="4145">
        <v>0</v>
      </c>
      <c r="F56" s="4146">
        <v>204</v>
      </c>
      <c r="G56" s="3780" t="s">
        <v>22</v>
      </c>
      <c r="H56" s="3785">
        <v>17000</v>
      </c>
      <c r="I56" s="4190">
        <f>SUM(J56:K56)</f>
        <v>6420.59</v>
      </c>
      <c r="J56" s="4191">
        <v>6420.59</v>
      </c>
      <c r="K56" s="4190"/>
      <c r="L56" s="5131"/>
    </row>
    <row r="57" spans="1:12" s="189" customFormat="1" ht="18.75" customHeight="1">
      <c r="A57" s="5143"/>
      <c r="B57" s="5149"/>
      <c r="C57" s="5151"/>
      <c r="D57" s="4132" t="s">
        <v>18</v>
      </c>
      <c r="E57" s="4145">
        <v>0</v>
      </c>
      <c r="F57" s="4146">
        <v>120</v>
      </c>
      <c r="G57" s="3780" t="s">
        <v>64</v>
      </c>
      <c r="H57" s="3785">
        <v>3000</v>
      </c>
      <c r="I57" s="4190">
        <f>SUM(J57:K57)</f>
        <v>3000</v>
      </c>
      <c r="J57" s="4191">
        <v>3000</v>
      </c>
      <c r="K57" s="4190"/>
      <c r="L57" s="5131"/>
    </row>
    <row r="58" spans="1:12" s="189" customFormat="1" ht="18.75" customHeight="1">
      <c r="A58" s="5143"/>
      <c r="B58" s="5149"/>
      <c r="C58" s="5151"/>
      <c r="D58" s="4132" t="s">
        <v>71</v>
      </c>
      <c r="E58" s="4145">
        <v>100</v>
      </c>
      <c r="F58" s="4146">
        <v>954.83</v>
      </c>
      <c r="G58" s="3780"/>
      <c r="H58" s="3785"/>
      <c r="I58" s="4190"/>
      <c r="J58" s="4191"/>
      <c r="K58" s="4190"/>
      <c r="L58" s="5131"/>
    </row>
    <row r="59" spans="1:12" s="13" customFormat="1" ht="42" customHeight="1">
      <c r="A59" s="5143"/>
      <c r="B59" s="4148" t="s">
        <v>72</v>
      </c>
      <c r="C59" s="4189" t="s">
        <v>73</v>
      </c>
      <c r="D59" s="4102"/>
      <c r="E59" s="4151">
        <f>SUM(E60:E62)</f>
        <v>1050</v>
      </c>
      <c r="F59" s="4152">
        <f>SUM(F60:F62)</f>
        <v>2221.77</v>
      </c>
      <c r="G59" s="4151"/>
      <c r="H59" s="4153">
        <f>SUM(H60:H63)</f>
        <v>2390</v>
      </c>
      <c r="I59" s="4192">
        <f>SUM(I60:I63)</f>
        <v>2390</v>
      </c>
      <c r="J59" s="4104">
        <f>SUM(J60:J63)</f>
        <v>2390</v>
      </c>
      <c r="K59" s="4106">
        <f>SUM(K60:K62)</f>
        <v>0</v>
      </c>
      <c r="L59" s="5130" t="s">
        <v>203</v>
      </c>
    </row>
    <row r="60" spans="1:12" s="13" customFormat="1" ht="14.25" customHeight="1">
      <c r="A60" s="5143"/>
      <c r="B60" s="5132"/>
      <c r="C60" s="5135"/>
      <c r="D60" s="4132" t="s">
        <v>69</v>
      </c>
      <c r="E60" s="4193">
        <v>0</v>
      </c>
      <c r="F60" s="3817">
        <v>212.75</v>
      </c>
      <c r="G60" s="4194">
        <v>4010</v>
      </c>
      <c r="H60" s="4195">
        <v>1119</v>
      </c>
      <c r="I60" s="4196">
        <f>J60+K60</f>
        <v>1119</v>
      </c>
      <c r="J60" s="4191">
        <v>1119</v>
      </c>
      <c r="K60" s="4190"/>
      <c r="L60" s="5131"/>
    </row>
    <row r="61" spans="1:12" s="13" customFormat="1" ht="14.25" customHeight="1">
      <c r="A61" s="5143"/>
      <c r="B61" s="5133"/>
      <c r="C61" s="5136"/>
      <c r="D61" s="4132" t="s">
        <v>18</v>
      </c>
      <c r="E61" s="4193">
        <v>1000</v>
      </c>
      <c r="F61" s="3817">
        <v>1124.5999999999999</v>
      </c>
      <c r="G61" s="4194">
        <v>4110</v>
      </c>
      <c r="H61" s="4195">
        <v>193</v>
      </c>
      <c r="I61" s="4196">
        <f t="shared" ref="I61:I63" si="13">J61+K61</f>
        <v>193</v>
      </c>
      <c r="J61" s="4191">
        <v>193</v>
      </c>
      <c r="K61" s="4190"/>
      <c r="L61" s="5131"/>
    </row>
    <row r="62" spans="1:12" s="13" customFormat="1" ht="14.25" customHeight="1">
      <c r="A62" s="5143"/>
      <c r="B62" s="5133"/>
      <c r="C62" s="5136"/>
      <c r="D62" s="4132" t="s">
        <v>71</v>
      </c>
      <c r="E62" s="4193">
        <v>50</v>
      </c>
      <c r="F62" s="3817">
        <v>884.42</v>
      </c>
      <c r="G62" s="4194">
        <v>4120</v>
      </c>
      <c r="H62" s="4195">
        <v>28</v>
      </c>
      <c r="I62" s="4196">
        <f t="shared" si="13"/>
        <v>28</v>
      </c>
      <c r="J62" s="4191">
        <v>28</v>
      </c>
      <c r="K62" s="4190"/>
      <c r="L62" s="5131"/>
    </row>
    <row r="63" spans="1:12" s="13" customFormat="1" ht="15">
      <c r="A63" s="5143"/>
      <c r="B63" s="475"/>
      <c r="C63" s="476"/>
      <c r="D63" s="4132"/>
      <c r="E63" s="4193"/>
      <c r="F63" s="3817"/>
      <c r="G63" s="4194">
        <v>4700</v>
      </c>
      <c r="H63" s="4195">
        <v>1050</v>
      </c>
      <c r="I63" s="4196">
        <f t="shared" si="13"/>
        <v>1050</v>
      </c>
      <c r="J63" s="4191">
        <v>1050</v>
      </c>
      <c r="K63" s="4190"/>
      <c r="L63" s="5152"/>
    </row>
    <row r="64" spans="1:12" s="13" customFormat="1" ht="30">
      <c r="A64" s="5143"/>
      <c r="B64" s="4148" t="s">
        <v>74</v>
      </c>
      <c r="C64" s="4189" t="s">
        <v>75</v>
      </c>
      <c r="D64" s="4102"/>
      <c r="E64" s="4151">
        <f>SUM(E65:E69)</f>
        <v>150000</v>
      </c>
      <c r="F64" s="4152">
        <f>SUM(F65:F69)</f>
        <v>198635.2</v>
      </c>
      <c r="G64" s="4151"/>
      <c r="H64" s="4153">
        <f>SUM(H65:H69)</f>
        <v>338997</v>
      </c>
      <c r="I64" s="4192">
        <f>SUM(I65:I69)</f>
        <v>335997</v>
      </c>
      <c r="J64" s="4104">
        <f>SUM(J65:J69)</f>
        <v>335997</v>
      </c>
      <c r="K64" s="4106">
        <f>SUM(K65:K69)</f>
        <v>0</v>
      </c>
      <c r="L64" s="5130" t="s">
        <v>76</v>
      </c>
    </row>
    <row r="65" spans="1:12" s="13" customFormat="1">
      <c r="A65" s="5143"/>
      <c r="B65" s="5132"/>
      <c r="C65" s="5135"/>
      <c r="D65" s="4132" t="s">
        <v>180</v>
      </c>
      <c r="E65" s="4193">
        <v>0</v>
      </c>
      <c r="F65" s="3817">
        <v>136</v>
      </c>
      <c r="G65" s="4194">
        <v>4010</v>
      </c>
      <c r="H65" s="4195">
        <v>278330</v>
      </c>
      <c r="I65" s="4196">
        <f>J65+K65</f>
        <v>278330</v>
      </c>
      <c r="J65" s="4191">
        <v>278330</v>
      </c>
      <c r="K65" s="4190"/>
      <c r="L65" s="5131"/>
    </row>
    <row r="66" spans="1:12" s="13" customFormat="1">
      <c r="A66" s="5143"/>
      <c r="B66" s="5133"/>
      <c r="C66" s="5136"/>
      <c r="D66" s="4132" t="s">
        <v>18</v>
      </c>
      <c r="E66" s="4193">
        <v>150000</v>
      </c>
      <c r="F66" s="3817">
        <v>198499.20000000001</v>
      </c>
      <c r="G66" s="4194">
        <v>4110</v>
      </c>
      <c r="H66" s="4195">
        <v>47846</v>
      </c>
      <c r="I66" s="4196">
        <f t="shared" ref="I66:I69" si="14">J66+K66</f>
        <v>47846</v>
      </c>
      <c r="J66" s="4191">
        <v>47846</v>
      </c>
      <c r="K66" s="4190"/>
      <c r="L66" s="5131"/>
    </row>
    <row r="67" spans="1:12" s="13" customFormat="1">
      <c r="A67" s="5143"/>
      <c r="B67" s="5133"/>
      <c r="C67" s="5136"/>
      <c r="D67" s="4132"/>
      <c r="E67" s="4193"/>
      <c r="F67" s="3817"/>
      <c r="G67" s="4194">
        <v>4120</v>
      </c>
      <c r="H67" s="4195">
        <v>6821</v>
      </c>
      <c r="I67" s="4196">
        <f t="shared" si="14"/>
        <v>6821</v>
      </c>
      <c r="J67" s="4191">
        <v>6821</v>
      </c>
      <c r="K67" s="4190"/>
      <c r="L67" s="5131"/>
    </row>
    <row r="68" spans="1:12" s="13" customFormat="1">
      <c r="A68" s="5143"/>
      <c r="B68" s="5133"/>
      <c r="C68" s="5136"/>
      <c r="D68" s="4132"/>
      <c r="E68" s="4193"/>
      <c r="F68" s="3817"/>
      <c r="G68" s="4194">
        <v>4210</v>
      </c>
      <c r="H68" s="4195">
        <v>3000</v>
      </c>
      <c r="I68" s="4196">
        <f t="shared" si="14"/>
        <v>0</v>
      </c>
      <c r="J68" s="4191">
        <v>0</v>
      </c>
      <c r="K68" s="4190"/>
      <c r="L68" s="5131"/>
    </row>
    <row r="69" spans="1:12" s="13" customFormat="1" ht="15" thickBot="1">
      <c r="A69" s="5143"/>
      <c r="B69" s="5134"/>
      <c r="C69" s="5137"/>
      <c r="D69" s="4132"/>
      <c r="E69" s="4193"/>
      <c r="F69" s="3817"/>
      <c r="G69" s="4194">
        <v>4700</v>
      </c>
      <c r="H69" s="4195">
        <v>3000</v>
      </c>
      <c r="I69" s="4196">
        <f t="shared" si="14"/>
        <v>3000</v>
      </c>
      <c r="J69" s="4191">
        <v>3000</v>
      </c>
      <c r="K69" s="4190"/>
      <c r="L69" s="5131"/>
    </row>
    <row r="70" spans="1:12" ht="30.75" customHeight="1" thickBot="1">
      <c r="A70" s="5138" t="s">
        <v>77</v>
      </c>
      <c r="B70" s="5138"/>
      <c r="C70" s="5139"/>
      <c r="D70" s="4197"/>
      <c r="E70" s="4024">
        <f>SUM(E45,E16,E39,E28,E25,E7)</f>
        <v>17523650</v>
      </c>
      <c r="F70" s="4198">
        <f>SUM(F45,F16,F39,F28,F25,F7)</f>
        <v>49816790.539999999</v>
      </c>
      <c r="G70" s="4199"/>
      <c r="H70" s="4200">
        <f>SUM(H45,H16,H39,H28,H25,H7)</f>
        <v>71459849</v>
      </c>
      <c r="I70" s="4025">
        <f>SUM(I45,I16,I39,I28,I25,I7)</f>
        <v>50622283.880000003</v>
      </c>
      <c r="J70" s="4198">
        <f>SUM(J45,J16,J39,J28,J25,J7)</f>
        <v>23970062.690000001</v>
      </c>
      <c r="K70" s="4025">
        <f>SUM(K45,K16,K39,K28,K25,K7)</f>
        <v>26652221.189999998</v>
      </c>
      <c r="L70" s="4201"/>
    </row>
    <row r="72" spans="1:12">
      <c r="I72" s="4253"/>
    </row>
    <row r="73" spans="1:12">
      <c r="F73" s="4253"/>
      <c r="H73" s="312"/>
      <c r="I73" s="312"/>
      <c r="J73" s="312"/>
      <c r="K73" s="312"/>
    </row>
    <row r="74" spans="1:12">
      <c r="I74" s="312"/>
      <c r="K74" s="312"/>
    </row>
    <row r="75" spans="1:12">
      <c r="L75" s="308"/>
    </row>
    <row r="78" spans="1:12" s="185" customFormat="1">
      <c r="A78" s="307"/>
      <c r="B78" s="307"/>
      <c r="C78" s="308"/>
      <c r="D78" s="308"/>
      <c r="E78" s="309"/>
      <c r="F78" s="309"/>
      <c r="G78" s="309"/>
      <c r="H78" s="309"/>
      <c r="I78" s="309"/>
      <c r="J78" s="312"/>
      <c r="K78" s="309"/>
      <c r="L78" s="309"/>
    </row>
  </sheetData>
  <mergeCells count="43">
    <mergeCell ref="A2:L2"/>
    <mergeCell ref="A3:B3"/>
    <mergeCell ref="A4:A6"/>
    <mergeCell ref="B4:B6"/>
    <mergeCell ref="C4:C6"/>
    <mergeCell ref="D4:D6"/>
    <mergeCell ref="E4:F5"/>
    <mergeCell ref="G4:G6"/>
    <mergeCell ref="H4:K4"/>
    <mergeCell ref="L4:L6"/>
    <mergeCell ref="H5:H6"/>
    <mergeCell ref="I5:I6"/>
    <mergeCell ref="J5:K5"/>
    <mergeCell ref="C9:C15"/>
    <mergeCell ref="A26:A27"/>
    <mergeCell ref="B34:B37"/>
    <mergeCell ref="C34:C37"/>
    <mergeCell ref="L16:L20"/>
    <mergeCell ref="A21:A22"/>
    <mergeCell ref="L21:L24"/>
    <mergeCell ref="A23:A24"/>
    <mergeCell ref="L31:L41"/>
    <mergeCell ref="L28:L30"/>
    <mergeCell ref="L25:L27"/>
    <mergeCell ref="L7:L15"/>
    <mergeCell ref="A8:A15"/>
    <mergeCell ref="B9:B15"/>
    <mergeCell ref="L64:L69"/>
    <mergeCell ref="B65:B69"/>
    <mergeCell ref="C65:C69"/>
    <mergeCell ref="A70:C70"/>
    <mergeCell ref="C41:C42"/>
    <mergeCell ref="A46:A69"/>
    <mergeCell ref="L46:L51"/>
    <mergeCell ref="C47:C49"/>
    <mergeCell ref="L52:L58"/>
    <mergeCell ref="B53:B58"/>
    <mergeCell ref="C53:C58"/>
    <mergeCell ref="L59:L63"/>
    <mergeCell ref="B60:B62"/>
    <mergeCell ref="C60:C62"/>
    <mergeCell ref="A40:A44"/>
    <mergeCell ref="B41:B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Strona &amp;P z &amp;N</oddFooter>
  </headerFooter>
  <rowBreaks count="2" manualBreakCount="2">
    <brk id="30" max="11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67F30-A578-4CF9-888B-7470A228CC5B}">
  <sheetPr>
    <pageSetUpPr fitToPage="1"/>
  </sheetPr>
  <dimension ref="A1:O56"/>
  <sheetViews>
    <sheetView tabSelected="1" view="pageBreakPreview" zoomScale="85" zoomScaleNormal="100" zoomScaleSheetLayoutView="85" zoomScalePageLayoutView="50" workbookViewId="0">
      <pane xSplit="8" ySplit="6" topLeftCell="I46" activePane="bottomRight" state="frozen"/>
      <selection activeCell="K153" sqref="K153"/>
      <selection pane="topRight" activeCell="K153" sqref="K153"/>
      <selection pane="bottomLeft" activeCell="K153" sqref="K153"/>
      <selection pane="bottomRight" activeCell="P5" sqref="P5"/>
    </sheetView>
  </sheetViews>
  <sheetFormatPr defaultRowHeight="14.25"/>
  <cols>
    <col min="1" max="1" width="7.42578125" style="294" customWidth="1"/>
    <col min="2" max="2" width="9.85546875" style="294" customWidth="1"/>
    <col min="3" max="3" width="32.5703125" style="1" customWidth="1"/>
    <col min="4" max="4" width="10.28515625" style="1" customWidth="1"/>
    <col min="5" max="5" width="14.42578125" style="2" customWidth="1"/>
    <col min="6" max="6" width="17.7109375" style="2" customWidth="1"/>
    <col min="7" max="7" width="10.5703125" style="2" customWidth="1"/>
    <col min="8" max="8" width="14.42578125" style="2" customWidth="1"/>
    <col min="9" max="9" width="17.42578125" style="2" customWidth="1"/>
    <col min="10" max="10" width="17.5703125" style="2" customWidth="1"/>
    <col min="11" max="11" width="18" style="2" customWidth="1"/>
    <col min="12" max="12" width="53.7109375" style="273" customWidth="1"/>
    <col min="13" max="13" width="10.7109375" style="3" bestFit="1" customWidth="1"/>
    <col min="14" max="14" width="11.5703125" style="3" bestFit="1" customWidth="1"/>
    <col min="15" max="15" width="10.85546875" style="3" customWidth="1"/>
    <col min="16" max="16384" width="9.140625" style="3"/>
  </cols>
  <sheetData>
    <row r="1" spans="1:15" ht="23.25" customHeight="1">
      <c r="A1" s="5187"/>
      <c r="B1" s="5187"/>
      <c r="C1" s="5187"/>
      <c r="D1" s="5187"/>
      <c r="E1" s="5187"/>
      <c r="F1" s="5187"/>
      <c r="G1" s="5187"/>
      <c r="H1" s="5187"/>
      <c r="I1" s="5187"/>
      <c r="J1" s="5187"/>
      <c r="K1" s="5187"/>
      <c r="L1" s="5187"/>
    </row>
    <row r="2" spans="1:15" ht="45" customHeight="1">
      <c r="A2" s="5188" t="s">
        <v>78</v>
      </c>
      <c r="B2" s="5188"/>
      <c r="C2" s="5188"/>
      <c r="D2" s="5188"/>
      <c r="E2" s="5188"/>
      <c r="F2" s="5188"/>
      <c r="G2" s="5188"/>
      <c r="H2" s="5188"/>
      <c r="I2" s="5188"/>
      <c r="J2" s="5188"/>
      <c r="K2" s="5188"/>
      <c r="L2" s="5188"/>
      <c r="M2" s="26"/>
    </row>
    <row r="3" spans="1:15" ht="27" customHeight="1" thickBot="1">
      <c r="A3" s="5168"/>
      <c r="B3" s="5168"/>
      <c r="C3" s="4"/>
      <c r="D3" s="4"/>
      <c r="E3" s="4"/>
      <c r="F3" s="4"/>
      <c r="G3" s="4"/>
      <c r="H3" s="4"/>
      <c r="I3" s="4"/>
      <c r="J3" s="4"/>
      <c r="K3" s="4"/>
      <c r="L3" s="4239" t="s">
        <v>248</v>
      </c>
      <c r="M3" s="26"/>
    </row>
    <row r="4" spans="1:15" ht="15.75" customHeight="1" thickBot="1">
      <c r="A4" s="5189" t="s">
        <v>1</v>
      </c>
      <c r="B4" s="5190" t="s">
        <v>2</v>
      </c>
      <c r="C4" s="5193" t="s">
        <v>3</v>
      </c>
      <c r="D4" s="5194" t="s">
        <v>4</v>
      </c>
      <c r="E4" s="5195" t="s">
        <v>79</v>
      </c>
      <c r="F4" s="5196"/>
      <c r="G4" s="5194" t="s">
        <v>4</v>
      </c>
      <c r="H4" s="5195" t="s">
        <v>6</v>
      </c>
      <c r="I4" s="5194"/>
      <c r="J4" s="5194"/>
      <c r="K4" s="5198"/>
      <c r="L4" s="5189" t="s">
        <v>80</v>
      </c>
      <c r="M4" s="26"/>
    </row>
    <row r="5" spans="1:15" ht="24.75" customHeight="1" thickBot="1">
      <c r="A5" s="5189"/>
      <c r="B5" s="5191"/>
      <c r="C5" s="5174"/>
      <c r="D5" s="5194"/>
      <c r="E5" s="5197"/>
      <c r="F5" s="5196"/>
      <c r="G5" s="5194"/>
      <c r="H5" s="5222" t="s">
        <v>8</v>
      </c>
      <c r="I5" s="5194" t="s">
        <v>9</v>
      </c>
      <c r="J5" s="5195" t="s">
        <v>10</v>
      </c>
      <c r="K5" s="5198"/>
      <c r="L5" s="5189"/>
      <c r="M5" s="26"/>
    </row>
    <row r="6" spans="1:15" ht="51.75" customHeight="1" thickBot="1">
      <c r="A6" s="5189"/>
      <c r="B6" s="5192"/>
      <c r="C6" s="5175"/>
      <c r="D6" s="5194"/>
      <c r="E6" s="235" t="s">
        <v>8</v>
      </c>
      <c r="F6" s="14" t="s">
        <v>9</v>
      </c>
      <c r="G6" s="5194"/>
      <c r="H6" s="5222"/>
      <c r="I6" s="5194"/>
      <c r="J6" s="234" t="s">
        <v>11</v>
      </c>
      <c r="K6" s="233" t="s">
        <v>12</v>
      </c>
      <c r="L6" s="5189"/>
      <c r="M6" s="26"/>
    </row>
    <row r="7" spans="1:15" s="28" customFormat="1" ht="24" customHeight="1" thickBot="1">
      <c r="A7" s="275" t="s">
        <v>27</v>
      </c>
      <c r="B7" s="276"/>
      <c r="C7" s="277" t="s">
        <v>81</v>
      </c>
      <c r="D7" s="278"/>
      <c r="E7" s="279">
        <f>SUM(E8,E11,E14,E20)</f>
        <v>25689528</v>
      </c>
      <c r="F7" s="280">
        <f>SUM(F8,F11,F14,F20)</f>
        <v>20426204.84</v>
      </c>
      <c r="G7" s="279"/>
      <c r="H7" s="279">
        <f>SUM(H8,H11,H14,H20)</f>
        <v>25689528</v>
      </c>
      <c r="I7" s="280">
        <f>SUM(I8,I11,I14,I20)</f>
        <v>20426204.84</v>
      </c>
      <c r="J7" s="280">
        <f>SUM(J8,J11,J14,J20)</f>
        <v>5686660.3399999999</v>
      </c>
      <c r="K7" s="280">
        <f>SUM(K8,K11,K14,K20)</f>
        <v>14739544.5</v>
      </c>
      <c r="L7" s="268"/>
      <c r="M7" s="42"/>
    </row>
    <row r="8" spans="1:15" s="6" customFormat="1" ht="38.1" customHeight="1" thickBot="1">
      <c r="A8" s="5199"/>
      <c r="B8" s="15" t="s">
        <v>29</v>
      </c>
      <c r="C8" s="16" t="s">
        <v>82</v>
      </c>
      <c r="D8" s="17"/>
      <c r="E8" s="18">
        <f>SUM(E9:E10)</f>
        <v>4152047</v>
      </c>
      <c r="F8" s="88">
        <f>SUM(F9:F10)</f>
        <v>3912646.85</v>
      </c>
      <c r="G8" s="18"/>
      <c r="H8" s="18">
        <f>SUM(H9:H10)</f>
        <v>4152047</v>
      </c>
      <c r="I8" s="88">
        <f>SUM(I9:I10)</f>
        <v>3912646.85</v>
      </c>
      <c r="J8" s="90">
        <f>SUM(J9:J10)</f>
        <v>3912646.85</v>
      </c>
      <c r="K8" s="88">
        <f>SUM(K9:K10)</f>
        <v>0</v>
      </c>
      <c r="L8" s="19"/>
      <c r="M8" s="47"/>
      <c r="N8" s="8"/>
    </row>
    <row r="9" spans="1:15" s="6" customFormat="1" ht="80.25" customHeight="1" thickBot="1">
      <c r="A9" s="5200"/>
      <c r="B9" s="5212"/>
      <c r="C9" s="5210"/>
      <c r="D9" s="238" t="s">
        <v>83</v>
      </c>
      <c r="E9" s="240">
        <v>60197</v>
      </c>
      <c r="F9" s="89">
        <v>60196.85</v>
      </c>
      <c r="G9" s="238" t="s">
        <v>33</v>
      </c>
      <c r="H9" s="20">
        <v>60197</v>
      </c>
      <c r="I9" s="91">
        <f>J9</f>
        <v>60196.85</v>
      </c>
      <c r="J9" s="246">
        <v>60196.85</v>
      </c>
      <c r="K9" s="247">
        <v>0</v>
      </c>
      <c r="L9" s="21" t="s">
        <v>356</v>
      </c>
      <c r="M9" s="47"/>
      <c r="O9" s="8"/>
    </row>
    <row r="10" spans="1:15" s="6" customFormat="1" ht="90.75" customHeight="1" thickBot="1">
      <c r="A10" s="5200"/>
      <c r="B10" s="5206"/>
      <c r="C10" s="5211"/>
      <c r="D10" s="232" t="s">
        <v>86</v>
      </c>
      <c r="E10" s="239">
        <v>4091850</v>
      </c>
      <c r="F10" s="100">
        <v>3852450</v>
      </c>
      <c r="G10" s="232" t="s">
        <v>33</v>
      </c>
      <c r="H10" s="239">
        <v>4091850</v>
      </c>
      <c r="I10" s="91">
        <f>J10</f>
        <v>3852450</v>
      </c>
      <c r="J10" s="100">
        <v>3852450</v>
      </c>
      <c r="K10" s="101">
        <v>0</v>
      </c>
      <c r="L10" s="102" t="s">
        <v>218</v>
      </c>
      <c r="M10" s="47"/>
      <c r="O10" s="8"/>
    </row>
    <row r="11" spans="1:15" s="6" customFormat="1" ht="24" customHeight="1" thickBot="1">
      <c r="A11" s="5200"/>
      <c r="B11" s="15" t="s">
        <v>181</v>
      </c>
      <c r="C11" s="16" t="s">
        <v>182</v>
      </c>
      <c r="D11" s="17"/>
      <c r="E11" s="18">
        <f>SUM(E12:E13)</f>
        <v>4338240</v>
      </c>
      <c r="F11" s="88">
        <f>SUM(F12:F13)</f>
        <v>374632.36</v>
      </c>
      <c r="G11" s="18"/>
      <c r="H11" s="18">
        <f>SUM(H12:H13)</f>
        <v>4338240</v>
      </c>
      <c r="I11" s="88">
        <f>SUM(I12:I13)</f>
        <v>374632.36</v>
      </c>
      <c r="J11" s="90">
        <f>SUM(J12:J13)</f>
        <v>0</v>
      </c>
      <c r="K11" s="88">
        <f>SUM(K12:K13)</f>
        <v>374632.36</v>
      </c>
      <c r="L11" s="19"/>
      <c r="M11" s="47"/>
      <c r="N11" s="8"/>
    </row>
    <row r="12" spans="1:15" s="6" customFormat="1" ht="80.25" customHeight="1" thickBot="1">
      <c r="A12" s="5200"/>
      <c r="B12" s="5212"/>
      <c r="C12" s="5210"/>
      <c r="D12" s="238" t="s">
        <v>86</v>
      </c>
      <c r="E12" s="240">
        <v>729000</v>
      </c>
      <c r="F12" s="89">
        <v>0</v>
      </c>
      <c r="G12" s="238" t="s">
        <v>33</v>
      </c>
      <c r="H12" s="240">
        <v>729000</v>
      </c>
      <c r="I12" s="91">
        <f>J12</f>
        <v>0</v>
      </c>
      <c r="J12" s="246">
        <v>0</v>
      </c>
      <c r="K12" s="247">
        <v>0</v>
      </c>
      <c r="L12" s="21" t="s">
        <v>219</v>
      </c>
      <c r="M12" s="47"/>
      <c r="O12" s="8"/>
    </row>
    <row r="13" spans="1:15" s="6" customFormat="1" ht="90.75" customHeight="1" thickBot="1">
      <c r="A13" s="5200"/>
      <c r="B13" s="5206"/>
      <c r="C13" s="5211"/>
      <c r="D13" s="232" t="s">
        <v>88</v>
      </c>
      <c r="E13" s="239">
        <v>3609240</v>
      </c>
      <c r="F13" s="100">
        <v>374632.36</v>
      </c>
      <c r="G13" s="232" t="s">
        <v>33</v>
      </c>
      <c r="H13" s="239">
        <v>3609240</v>
      </c>
      <c r="I13" s="91">
        <f>J13+K13</f>
        <v>374632.36</v>
      </c>
      <c r="J13" s="103">
        <v>0</v>
      </c>
      <c r="K13" s="100">
        <v>374632.36</v>
      </c>
      <c r="L13" s="102" t="s">
        <v>220</v>
      </c>
      <c r="M13" s="47"/>
      <c r="O13" s="8"/>
    </row>
    <row r="14" spans="1:15" s="152" customFormat="1" ht="24" customHeight="1" thickBot="1">
      <c r="A14" s="5200"/>
      <c r="B14" s="154" t="s">
        <v>84</v>
      </c>
      <c r="C14" s="155" t="s">
        <v>85</v>
      </c>
      <c r="D14" s="156"/>
      <c r="E14" s="157">
        <f>SUM(E15:E19)</f>
        <v>17199241</v>
      </c>
      <c r="F14" s="158">
        <f>SUM(F15:F19)</f>
        <v>16138925.630000001</v>
      </c>
      <c r="G14" s="157"/>
      <c r="H14" s="157">
        <f>SUM(H15:H19)</f>
        <v>17199241</v>
      </c>
      <c r="I14" s="159">
        <f t="shared" ref="I14:K14" si="0">SUM(I15:I19)</f>
        <v>16138925.630000001</v>
      </c>
      <c r="J14" s="160">
        <f t="shared" si="0"/>
        <v>1774013.49</v>
      </c>
      <c r="K14" s="158">
        <f t="shared" si="0"/>
        <v>14364912.140000001</v>
      </c>
      <c r="L14" s="161"/>
      <c r="O14" s="153"/>
    </row>
    <row r="15" spans="1:15" s="152" customFormat="1" ht="129.75" customHeight="1" thickBot="1">
      <c r="A15" s="5201"/>
      <c r="B15" s="143"/>
      <c r="C15" s="144"/>
      <c r="D15" s="145" t="s">
        <v>86</v>
      </c>
      <c r="E15" s="146">
        <v>1774238</v>
      </c>
      <c r="F15" s="147">
        <v>1774013.49</v>
      </c>
      <c r="G15" s="145" t="s">
        <v>87</v>
      </c>
      <c r="H15" s="148">
        <v>1774238</v>
      </c>
      <c r="I15" s="138">
        <f>J15+K15</f>
        <v>1774013.49</v>
      </c>
      <c r="J15" s="149">
        <f>903726.05+870287.44</f>
        <v>1774013.49</v>
      </c>
      <c r="K15" s="150"/>
      <c r="L15" s="151" t="s">
        <v>199</v>
      </c>
      <c r="O15" s="153">
        <f>J8+J14</f>
        <v>5686660.3399999999</v>
      </c>
    </row>
    <row r="16" spans="1:15" s="6" customFormat="1" ht="84.75" customHeight="1">
      <c r="A16" s="5199"/>
      <c r="B16" s="5202" t="s">
        <v>84</v>
      </c>
      <c r="C16" s="22"/>
      <c r="D16" s="5205" t="s">
        <v>88</v>
      </c>
      <c r="E16" s="5207">
        <v>15425003</v>
      </c>
      <c r="F16" s="5240">
        <v>14364912.140000001</v>
      </c>
      <c r="G16" s="5202" t="s">
        <v>89</v>
      </c>
      <c r="H16" s="5237">
        <v>15425003</v>
      </c>
      <c r="I16" s="5216">
        <f>SUM(J16:K19)</f>
        <v>14364912.140000001</v>
      </c>
      <c r="J16" s="5213"/>
      <c r="K16" s="5216">
        <f>7765942.76+2157672.6+425888.07+635601.08+550000+100000+473000+429945.63+1826862</f>
        <v>14364912.140000001</v>
      </c>
      <c r="L16" s="5219" t="s">
        <v>357</v>
      </c>
      <c r="M16" s="47"/>
    </row>
    <row r="17" spans="1:14" s="152" customFormat="1" ht="316.5" customHeight="1">
      <c r="A17" s="5200"/>
      <c r="B17" s="5203"/>
      <c r="C17" s="5151"/>
      <c r="D17" s="5161"/>
      <c r="E17" s="5208"/>
      <c r="F17" s="5241"/>
      <c r="G17" s="5203"/>
      <c r="H17" s="5238"/>
      <c r="I17" s="5217"/>
      <c r="J17" s="5214"/>
      <c r="K17" s="5217"/>
      <c r="L17" s="5220"/>
    </row>
    <row r="18" spans="1:14" s="6" customFormat="1" ht="69.75" customHeight="1">
      <c r="A18" s="5200"/>
      <c r="B18" s="5203"/>
      <c r="C18" s="5151"/>
      <c r="D18" s="5161"/>
      <c r="E18" s="5208"/>
      <c r="F18" s="5241"/>
      <c r="G18" s="5203"/>
      <c r="H18" s="5238"/>
      <c r="I18" s="5217"/>
      <c r="J18" s="5214"/>
      <c r="K18" s="5217"/>
      <c r="L18" s="5220"/>
      <c r="M18" s="47"/>
    </row>
    <row r="19" spans="1:14" s="6" customFormat="1" ht="76.5" customHeight="1" thickBot="1">
      <c r="A19" s="5200"/>
      <c r="B19" s="5204"/>
      <c r="C19" s="5227"/>
      <c r="D19" s="5206"/>
      <c r="E19" s="5209"/>
      <c r="F19" s="5242"/>
      <c r="G19" s="5204"/>
      <c r="H19" s="5239"/>
      <c r="I19" s="5218"/>
      <c r="J19" s="5215"/>
      <c r="K19" s="5218"/>
      <c r="L19" s="5221"/>
      <c r="M19" s="47"/>
    </row>
    <row r="20" spans="1:14" s="6" customFormat="1" ht="35.25" hidden="1" customHeight="1" thickBot="1">
      <c r="A20" s="5200"/>
      <c r="B20" s="43" t="s">
        <v>90</v>
      </c>
      <c r="C20" s="44" t="s">
        <v>91</v>
      </c>
      <c r="D20" s="17"/>
      <c r="E20" s="23">
        <f>SUM(E21)</f>
        <v>0</v>
      </c>
      <c r="F20" s="84">
        <f>SUM(F21)</f>
        <v>0</v>
      </c>
      <c r="G20" s="45"/>
      <c r="H20" s="51">
        <f>SUM(H21)</f>
        <v>0</v>
      </c>
      <c r="I20" s="93">
        <f>SUM(J20:K20)</f>
        <v>0</v>
      </c>
      <c r="J20" s="94">
        <f>SUM(J21)</f>
        <v>0</v>
      </c>
      <c r="K20" s="87">
        <f>SUM(K21)</f>
        <v>0</v>
      </c>
      <c r="L20" s="46"/>
      <c r="M20" s="47"/>
    </row>
    <row r="21" spans="1:14" s="6" customFormat="1" ht="55.5" hidden="1" customHeight="1" thickBot="1">
      <c r="A21" s="5201"/>
      <c r="B21" s="24"/>
      <c r="C21" s="242"/>
      <c r="D21" s="238" t="s">
        <v>86</v>
      </c>
      <c r="E21" s="240"/>
      <c r="F21" s="83"/>
      <c r="G21" s="244" t="s">
        <v>87</v>
      </c>
      <c r="H21" s="49"/>
      <c r="I21" s="104"/>
      <c r="J21" s="95"/>
      <c r="K21" s="245"/>
      <c r="L21" s="241"/>
      <c r="M21" s="47"/>
    </row>
    <row r="22" spans="1:14" ht="39.75" hidden="1" customHeight="1" thickBot="1">
      <c r="A22" s="68" t="s">
        <v>92</v>
      </c>
      <c r="B22" s="281"/>
      <c r="C22" s="282" t="s">
        <v>93</v>
      </c>
      <c r="D22" s="283"/>
      <c r="E22" s="284">
        <f>SUM(E23)</f>
        <v>0</v>
      </c>
      <c r="F22" s="107">
        <f>SUM(F23)</f>
        <v>0</v>
      </c>
      <c r="G22" s="285"/>
      <c r="H22" s="69">
        <f>SUM(H23)</f>
        <v>0</v>
      </c>
      <c r="I22" s="106">
        <f>SUM(I23)</f>
        <v>0</v>
      </c>
      <c r="J22" s="107">
        <f>SUM(J23)</f>
        <v>0</v>
      </c>
      <c r="K22" s="106">
        <f t="shared" ref="K22" si="1">SUM(K23)</f>
        <v>0</v>
      </c>
      <c r="L22" s="269"/>
      <c r="M22" s="26"/>
    </row>
    <row r="23" spans="1:14" s="6" customFormat="1" ht="30" hidden="1" customHeight="1" thickBot="1">
      <c r="A23" s="5228"/>
      <c r="B23" s="43" t="s">
        <v>94</v>
      </c>
      <c r="C23" s="44" t="s">
        <v>95</v>
      </c>
      <c r="D23" s="17"/>
      <c r="E23" s="23">
        <f>SUM(E24)</f>
        <v>0</v>
      </c>
      <c r="F23" s="84">
        <f>SUM(F24)</f>
        <v>0</v>
      </c>
      <c r="G23" s="45"/>
      <c r="H23" s="51">
        <f>SUM(H24)</f>
        <v>0</v>
      </c>
      <c r="I23" s="93">
        <f>SUM(J23:K23)</f>
        <v>0</v>
      </c>
      <c r="J23" s="94">
        <f>SUM(J24)</f>
        <v>0</v>
      </c>
      <c r="K23" s="87">
        <f>SUM(K24)</f>
        <v>0</v>
      </c>
      <c r="L23" s="46"/>
      <c r="M23" s="47"/>
    </row>
    <row r="24" spans="1:14" ht="69" hidden="1" customHeight="1" thickBot="1">
      <c r="A24" s="5229"/>
      <c r="B24" s="9"/>
      <c r="C24" s="52"/>
      <c r="D24" s="232" t="s">
        <v>86</v>
      </c>
      <c r="E24" s="239"/>
      <c r="F24" s="85"/>
      <c r="G24" s="231" t="s">
        <v>23</v>
      </c>
      <c r="H24" s="53"/>
      <c r="I24" s="104"/>
      <c r="J24" s="96"/>
      <c r="K24" s="97"/>
      <c r="L24" s="54"/>
      <c r="M24" s="26"/>
      <c r="N24" s="25"/>
    </row>
    <row r="25" spans="1:14" ht="50.25" hidden="1" customHeight="1" thickBot="1">
      <c r="A25" s="68" t="s">
        <v>96</v>
      </c>
      <c r="B25" s="286"/>
      <c r="C25" s="287" t="s">
        <v>97</v>
      </c>
      <c r="D25" s="260"/>
      <c r="E25" s="284">
        <f>E26</f>
        <v>0</v>
      </c>
      <c r="F25" s="106">
        <f t="shared" ref="F25:K26" si="2">F26</f>
        <v>0</v>
      </c>
      <c r="G25" s="285"/>
      <c r="H25" s="285">
        <f t="shared" si="2"/>
        <v>0</v>
      </c>
      <c r="I25" s="106">
        <f t="shared" si="2"/>
        <v>0</v>
      </c>
      <c r="J25" s="288">
        <f t="shared" si="2"/>
        <v>0</v>
      </c>
      <c r="K25" s="106">
        <f t="shared" si="2"/>
        <v>0</v>
      </c>
      <c r="L25" s="270"/>
      <c r="M25" s="26"/>
    </row>
    <row r="26" spans="1:14" s="6" customFormat="1" ht="31.5" hidden="1" customHeight="1" thickBot="1">
      <c r="A26" s="5199"/>
      <c r="B26" s="43" t="s">
        <v>98</v>
      </c>
      <c r="C26" s="44" t="s">
        <v>99</v>
      </c>
      <c r="D26" s="17"/>
      <c r="E26" s="23">
        <f>E27</f>
        <v>0</v>
      </c>
      <c r="F26" s="86">
        <f t="shared" si="2"/>
        <v>0</v>
      </c>
      <c r="G26" s="50"/>
      <c r="H26" s="50">
        <f t="shared" si="2"/>
        <v>0</v>
      </c>
      <c r="I26" s="86">
        <f t="shared" si="2"/>
        <v>0</v>
      </c>
      <c r="J26" s="98">
        <f t="shared" si="2"/>
        <v>0</v>
      </c>
      <c r="K26" s="86">
        <f t="shared" si="2"/>
        <v>0</v>
      </c>
      <c r="L26" s="46"/>
      <c r="M26" s="47"/>
    </row>
    <row r="27" spans="1:14" ht="72.75" hidden="1" customHeight="1" thickBot="1">
      <c r="A27" s="5201"/>
      <c r="B27" s="9"/>
      <c r="C27" s="52"/>
      <c r="D27" s="232" t="s">
        <v>19</v>
      </c>
      <c r="E27" s="239"/>
      <c r="F27" s="85"/>
      <c r="G27" s="231" t="s">
        <v>100</v>
      </c>
      <c r="H27" s="53"/>
      <c r="I27" s="104"/>
      <c r="J27" s="96"/>
      <c r="K27" s="92"/>
      <c r="L27" s="54"/>
      <c r="M27" s="26"/>
      <c r="N27" s="25"/>
    </row>
    <row r="28" spans="1:14" ht="24" customHeight="1" thickBot="1">
      <c r="A28" s="192" t="s">
        <v>40</v>
      </c>
      <c r="B28" s="289"/>
      <c r="C28" s="290" t="s">
        <v>41</v>
      </c>
      <c r="D28" s="260"/>
      <c r="E28" s="284">
        <f>SUM(E29)</f>
        <v>250000</v>
      </c>
      <c r="F28" s="291">
        <f>SUM(F29)</f>
        <v>250000</v>
      </c>
      <c r="G28" s="284"/>
      <c r="H28" s="193">
        <f>SUM(H29)</f>
        <v>250000</v>
      </c>
      <c r="I28" s="194">
        <f>SUM(I29)</f>
        <v>250000</v>
      </c>
      <c r="J28" s="195">
        <f>SUM(J29)</f>
        <v>0</v>
      </c>
      <c r="K28" s="194">
        <f>SUM(K29)</f>
        <v>250000</v>
      </c>
      <c r="L28" s="271"/>
      <c r="M28" s="26"/>
    </row>
    <row r="29" spans="1:14" s="28" customFormat="1" ht="24" customHeight="1" thickBot="1">
      <c r="A29" s="5246"/>
      <c r="B29" s="162" t="s">
        <v>183</v>
      </c>
      <c r="C29" s="163" t="s">
        <v>184</v>
      </c>
      <c r="D29" s="154"/>
      <c r="E29" s="164">
        <f>SUM(E30)</f>
        <v>250000</v>
      </c>
      <c r="F29" s="165">
        <f>SUM(F30)</f>
        <v>250000</v>
      </c>
      <c r="G29" s="164"/>
      <c r="H29" s="164">
        <v>250000</v>
      </c>
      <c r="I29" s="165">
        <f t="shared" ref="I29:K29" si="3">SUM(I30)</f>
        <v>250000</v>
      </c>
      <c r="J29" s="166">
        <f t="shared" si="3"/>
        <v>0</v>
      </c>
      <c r="K29" s="165">
        <f t="shared" si="3"/>
        <v>250000</v>
      </c>
      <c r="L29" s="128"/>
    </row>
    <row r="30" spans="1:14" s="28" customFormat="1" ht="51.75" customHeight="1">
      <c r="A30" s="5247"/>
      <c r="B30" s="5249"/>
      <c r="C30" s="5251"/>
      <c r="D30" s="5202" t="s">
        <v>88</v>
      </c>
      <c r="E30" s="5262">
        <v>250000</v>
      </c>
      <c r="F30" s="5240">
        <v>250000</v>
      </c>
      <c r="G30" s="5202" t="s">
        <v>112</v>
      </c>
      <c r="H30" s="5262">
        <v>250000</v>
      </c>
      <c r="I30" s="5240">
        <f>SUM(J30:K31)</f>
        <v>250000</v>
      </c>
      <c r="J30" s="5240"/>
      <c r="K30" s="5240">
        <v>250000</v>
      </c>
      <c r="L30" s="5256" t="s">
        <v>221</v>
      </c>
    </row>
    <row r="31" spans="1:14" s="28" customFormat="1" ht="25.5" customHeight="1" thickBot="1">
      <c r="A31" s="5248"/>
      <c r="B31" s="5250"/>
      <c r="C31" s="5252"/>
      <c r="D31" s="5204"/>
      <c r="E31" s="5263"/>
      <c r="F31" s="5242"/>
      <c r="G31" s="5204"/>
      <c r="H31" s="5263"/>
      <c r="I31" s="5242"/>
      <c r="J31" s="5242"/>
      <c r="K31" s="5242"/>
      <c r="L31" s="5257"/>
    </row>
    <row r="32" spans="1:14" ht="24" customHeight="1" thickBot="1">
      <c r="A32" s="3875" t="s">
        <v>101</v>
      </c>
      <c r="B32" s="3937"/>
      <c r="C32" s="3938" t="s">
        <v>102</v>
      </c>
      <c r="D32" s="3768"/>
      <c r="E32" s="3939">
        <f>SUM(E33)</f>
        <v>3424351</v>
      </c>
      <c r="F32" s="3940">
        <f>SUM(F33)</f>
        <v>3181454.66</v>
      </c>
      <c r="G32" s="3939"/>
      <c r="H32" s="3770">
        <f>SUM(H33)</f>
        <v>3424351</v>
      </c>
      <c r="I32" s="3771">
        <f>SUM(I33)</f>
        <v>3181454.66</v>
      </c>
      <c r="J32" s="3772">
        <f>SUM(J33)</f>
        <v>3181454.66</v>
      </c>
      <c r="K32" s="3771">
        <f>SUM(K33,K33)</f>
        <v>0</v>
      </c>
      <c r="L32" s="4072"/>
      <c r="M32" s="26"/>
    </row>
    <row r="33" spans="1:13" ht="38.1" customHeight="1" thickBot="1">
      <c r="A33" s="5230"/>
      <c r="B33" s="4073" t="s">
        <v>103</v>
      </c>
      <c r="C33" s="3918" t="s">
        <v>104</v>
      </c>
      <c r="D33" s="3774"/>
      <c r="E33" s="4074">
        <f>SUM(E34)</f>
        <v>3424351</v>
      </c>
      <c r="F33" s="4075">
        <f t="shared" ref="F33:K33" si="4">SUM(F34)</f>
        <v>3181454.66</v>
      </c>
      <c r="G33" s="4074"/>
      <c r="H33" s="4074">
        <f>H34</f>
        <v>3424351</v>
      </c>
      <c r="I33" s="4075">
        <f t="shared" si="4"/>
        <v>3181454.66</v>
      </c>
      <c r="J33" s="4076">
        <f t="shared" si="4"/>
        <v>3181454.66</v>
      </c>
      <c r="K33" s="4075">
        <f t="shared" si="4"/>
        <v>0</v>
      </c>
      <c r="L33" s="3917"/>
      <c r="M33" s="26"/>
    </row>
    <row r="34" spans="1:13" ht="51.75" customHeight="1">
      <c r="A34" s="5231"/>
      <c r="B34" s="5233"/>
      <c r="C34" s="5235"/>
      <c r="D34" s="5212" t="s">
        <v>21</v>
      </c>
      <c r="E34" s="5223">
        <v>3424351</v>
      </c>
      <c r="F34" s="5225">
        <v>3181454.66</v>
      </c>
      <c r="G34" s="5212" t="s">
        <v>44</v>
      </c>
      <c r="H34" s="5223">
        <v>3424351</v>
      </c>
      <c r="I34" s="5225">
        <f>SUM(J34:K35)</f>
        <v>3181454.66</v>
      </c>
      <c r="J34" s="5225">
        <v>3181454.66</v>
      </c>
      <c r="K34" s="5225">
        <v>0</v>
      </c>
      <c r="L34" s="5264" t="s">
        <v>217</v>
      </c>
      <c r="M34" s="26"/>
    </row>
    <row r="35" spans="1:13" ht="343.5" customHeight="1" thickBot="1">
      <c r="A35" s="5232"/>
      <c r="B35" s="5234"/>
      <c r="C35" s="5236"/>
      <c r="D35" s="5206"/>
      <c r="E35" s="5224"/>
      <c r="F35" s="5226"/>
      <c r="G35" s="5206"/>
      <c r="H35" s="5224"/>
      <c r="I35" s="5226"/>
      <c r="J35" s="5226"/>
      <c r="K35" s="5226"/>
      <c r="L35" s="5265"/>
      <c r="M35" s="26"/>
    </row>
    <row r="36" spans="1:13" s="127" customFormat="1" ht="38.1" customHeight="1" thickBot="1">
      <c r="A36" s="4077" t="s">
        <v>105</v>
      </c>
      <c r="B36" s="4078"/>
      <c r="C36" s="4079" t="s">
        <v>106</v>
      </c>
      <c r="D36" s="3991"/>
      <c r="E36" s="3994">
        <f>SUM(E37,E39,E41,E43)</f>
        <v>4624852</v>
      </c>
      <c r="F36" s="4080">
        <f>SUM(F37,F39,F41,F43)</f>
        <v>4624147.5</v>
      </c>
      <c r="G36" s="3994"/>
      <c r="H36" s="3994">
        <f>SUM(H37,H39,H41,H43)</f>
        <v>4624852</v>
      </c>
      <c r="I36" s="4080">
        <f>SUM(I37,I39,I41,I43)</f>
        <v>4624147.5</v>
      </c>
      <c r="J36" s="4081">
        <f>SUM(J37,J39,J41,J43)</f>
        <v>4624147.5</v>
      </c>
      <c r="K36" s="4081">
        <f>SUM(K37,K39,K41,K43)</f>
        <v>0</v>
      </c>
      <c r="L36" s="4082"/>
      <c r="M36" s="130"/>
    </row>
    <row r="37" spans="1:13" s="13" customFormat="1" ht="53.25" hidden="1" customHeight="1" thickBot="1">
      <c r="A37" s="5253"/>
      <c r="B37" s="4083" t="s">
        <v>107</v>
      </c>
      <c r="C37" s="4084" t="s">
        <v>108</v>
      </c>
      <c r="D37" s="3774"/>
      <c r="E37" s="4085">
        <f>SUM(E38)</f>
        <v>0</v>
      </c>
      <c r="F37" s="3832">
        <f>SUM(F38)</f>
        <v>0</v>
      </c>
      <c r="G37" s="4086"/>
      <c r="H37" s="3830">
        <f>SUM(H38)</f>
        <v>0</v>
      </c>
      <c r="I37" s="4087">
        <f>SUM(I38)</f>
        <v>0</v>
      </c>
      <c r="J37" s="4088">
        <f>SUM(J38)</f>
        <v>0</v>
      </c>
      <c r="K37" s="4089">
        <f>SUM(K38)</f>
        <v>0</v>
      </c>
      <c r="L37" s="4090"/>
      <c r="M37" s="55"/>
    </row>
    <row r="38" spans="1:13" s="5" customFormat="1" ht="92.25" hidden="1" customHeight="1" thickBot="1">
      <c r="A38" s="5200"/>
      <c r="B38" s="24"/>
      <c r="C38" s="56"/>
      <c r="D38" s="484" t="s">
        <v>86</v>
      </c>
      <c r="E38" s="489"/>
      <c r="F38" s="83"/>
      <c r="G38" s="479" t="s">
        <v>100</v>
      </c>
      <c r="H38" s="48"/>
      <c r="I38" s="99"/>
      <c r="J38" s="83"/>
      <c r="K38" s="99"/>
      <c r="L38" s="57"/>
      <c r="M38" s="58"/>
    </row>
    <row r="39" spans="1:13" s="127" customFormat="1" ht="35.25" customHeight="1" thickBot="1">
      <c r="A39" s="5200"/>
      <c r="B39" s="3942">
        <v>92108</v>
      </c>
      <c r="C39" s="3943" t="s">
        <v>109</v>
      </c>
      <c r="D39" s="3944"/>
      <c r="E39" s="4091">
        <f>SUM(E40)</f>
        <v>50000</v>
      </c>
      <c r="F39" s="4092">
        <f>SUM(F40)</f>
        <v>50000</v>
      </c>
      <c r="G39" s="4091"/>
      <c r="H39" s="4093">
        <f>SUM(H40)</f>
        <v>50000</v>
      </c>
      <c r="I39" s="4094">
        <f t="shared" ref="I39" si="5">SUM(J39:K39)</f>
        <v>50000</v>
      </c>
      <c r="J39" s="4095">
        <f>SUM(J40)</f>
        <v>50000</v>
      </c>
      <c r="K39" s="4001">
        <f>SUM(K40)</f>
        <v>0</v>
      </c>
      <c r="L39" s="4008"/>
    </row>
    <row r="40" spans="1:13" s="127" customFormat="1" ht="70.5" customHeight="1" thickBot="1">
      <c r="A40" s="5201"/>
      <c r="B40" s="4096"/>
      <c r="C40" s="4097"/>
      <c r="D40" s="482" t="s">
        <v>86</v>
      </c>
      <c r="E40" s="499">
        <v>50000</v>
      </c>
      <c r="F40" s="4098">
        <v>50000</v>
      </c>
      <c r="G40" s="482" t="s">
        <v>100</v>
      </c>
      <c r="H40" s="499">
        <v>50000</v>
      </c>
      <c r="I40" s="481">
        <f>J40</f>
        <v>50000</v>
      </c>
      <c r="J40" s="4098">
        <v>50000</v>
      </c>
      <c r="K40" s="481">
        <v>0</v>
      </c>
      <c r="L40" s="478" t="s">
        <v>200</v>
      </c>
    </row>
    <row r="41" spans="1:13" s="5" customFormat="1" ht="66" hidden="1" customHeight="1" thickBot="1">
      <c r="A41" s="230"/>
      <c r="B41" s="4065" t="s">
        <v>110</v>
      </c>
      <c r="C41" s="4066" t="s">
        <v>111</v>
      </c>
      <c r="D41" s="211"/>
      <c r="E41" s="4067">
        <f>SUM(E42)</f>
        <v>0</v>
      </c>
      <c r="F41" s="4068">
        <f>SUM(F42)</f>
        <v>0</v>
      </c>
      <c r="G41" s="4069"/>
      <c r="H41" s="76">
        <f>SUM(H42)</f>
        <v>0</v>
      </c>
      <c r="I41" s="4070">
        <f t="shared" ref="I41" si="6">SUM(J41:K41)</f>
        <v>0</v>
      </c>
      <c r="J41" s="117">
        <f>SUM(J42)</f>
        <v>0</v>
      </c>
      <c r="K41" s="116">
        <f>SUM(K42)</f>
        <v>0</v>
      </c>
      <c r="L41" s="4071"/>
      <c r="M41" s="58"/>
    </row>
    <row r="42" spans="1:13" s="5" customFormat="1" ht="93.75" hidden="1" customHeight="1" thickBot="1">
      <c r="A42" s="236"/>
      <c r="B42" s="24"/>
      <c r="C42" s="56"/>
      <c r="D42" s="238" t="s">
        <v>88</v>
      </c>
      <c r="E42" s="240"/>
      <c r="F42" s="83"/>
      <c r="G42" s="244" t="s">
        <v>112</v>
      </c>
      <c r="H42" s="48"/>
      <c r="I42" s="99"/>
      <c r="J42" s="83"/>
      <c r="K42" s="99"/>
      <c r="L42" s="57"/>
      <c r="M42" s="58"/>
    </row>
    <row r="43" spans="1:13" s="184" customFormat="1" ht="24" customHeight="1" thickBot="1">
      <c r="A43" s="5199"/>
      <c r="B43" s="162">
        <v>92116</v>
      </c>
      <c r="C43" s="163" t="s">
        <v>113</v>
      </c>
      <c r="D43" s="154"/>
      <c r="E43" s="167">
        <f>SUM(E44:E47)</f>
        <v>4574852</v>
      </c>
      <c r="F43" s="168">
        <f>SUM(F44:F47)</f>
        <v>4574147.5</v>
      </c>
      <c r="G43" s="167"/>
      <c r="H43" s="169">
        <f>SUM(H44:H47)</f>
        <v>4574852</v>
      </c>
      <c r="I43" s="170">
        <f>SUM(J43:K43)</f>
        <v>4574147.5</v>
      </c>
      <c r="J43" s="171">
        <f>SUM(J44:J47)</f>
        <v>4574147.5</v>
      </c>
      <c r="K43" s="129">
        <f>SUM(K44:K47)</f>
        <v>0</v>
      </c>
      <c r="L43" s="128"/>
    </row>
    <row r="44" spans="1:13" s="127" customFormat="1" ht="69" customHeight="1" thickBot="1">
      <c r="A44" s="5200"/>
      <c r="B44" s="5260"/>
      <c r="C44" s="5258"/>
      <c r="D44" s="5254" t="s">
        <v>19</v>
      </c>
      <c r="E44" s="174">
        <v>4308852</v>
      </c>
      <c r="F44" s="175">
        <v>4308852</v>
      </c>
      <c r="G44" s="237" t="s">
        <v>216</v>
      </c>
      <c r="H44" s="176">
        <v>4308852</v>
      </c>
      <c r="I44" s="177">
        <f>J44</f>
        <v>4308852</v>
      </c>
      <c r="J44" s="172">
        <v>4308852</v>
      </c>
      <c r="K44" s="243">
        <v>0</v>
      </c>
      <c r="L44" s="173" t="s">
        <v>114</v>
      </c>
    </row>
    <row r="45" spans="1:13" s="127" customFormat="1" ht="122.25" customHeight="1" thickBot="1">
      <c r="A45" s="5200"/>
      <c r="B45" s="5149"/>
      <c r="C45" s="5159"/>
      <c r="D45" s="5255"/>
      <c r="E45" s="178">
        <v>150000</v>
      </c>
      <c r="F45" s="179">
        <v>150000</v>
      </c>
      <c r="G45" s="145" t="s">
        <v>100</v>
      </c>
      <c r="H45" s="180">
        <v>150000</v>
      </c>
      <c r="I45" s="179">
        <f>J45</f>
        <v>150000</v>
      </c>
      <c r="J45" s="147">
        <f>150000</f>
        <v>150000</v>
      </c>
      <c r="K45" s="181">
        <v>0</v>
      </c>
      <c r="L45" s="182" t="s">
        <v>198</v>
      </c>
    </row>
    <row r="46" spans="1:13" s="127" customFormat="1" ht="80.25" customHeight="1" thickBot="1">
      <c r="A46" s="5200"/>
      <c r="B46" s="5149"/>
      <c r="C46" s="5159"/>
      <c r="D46" s="183" t="s">
        <v>21</v>
      </c>
      <c r="E46" s="146">
        <v>80000</v>
      </c>
      <c r="F46" s="147">
        <v>80000</v>
      </c>
      <c r="G46" s="145" t="s">
        <v>100</v>
      </c>
      <c r="H46" s="180">
        <v>80000</v>
      </c>
      <c r="I46" s="179">
        <f>J46</f>
        <v>80000</v>
      </c>
      <c r="J46" s="147">
        <v>80000</v>
      </c>
      <c r="K46" s="181">
        <v>0</v>
      </c>
      <c r="L46" s="182" t="s">
        <v>358</v>
      </c>
    </row>
    <row r="47" spans="1:13" s="127" customFormat="1" ht="74.25" customHeight="1" thickBot="1">
      <c r="A47" s="5201"/>
      <c r="B47" s="5261"/>
      <c r="C47" s="5259"/>
      <c r="D47" s="183" t="s">
        <v>25</v>
      </c>
      <c r="E47" s="146">
        <v>36000</v>
      </c>
      <c r="F47" s="147">
        <v>35295.5</v>
      </c>
      <c r="G47" s="145" t="s">
        <v>112</v>
      </c>
      <c r="H47" s="180">
        <v>36000</v>
      </c>
      <c r="I47" s="179">
        <f>J47</f>
        <v>35295.5</v>
      </c>
      <c r="J47" s="147">
        <v>35295.5</v>
      </c>
      <c r="K47" s="181">
        <v>0</v>
      </c>
      <c r="L47" s="182" t="s">
        <v>222</v>
      </c>
    </row>
    <row r="48" spans="1:13" ht="36.75" customHeight="1" thickBot="1">
      <c r="A48" s="5243" t="s">
        <v>115</v>
      </c>
      <c r="B48" s="5244"/>
      <c r="C48" s="5244"/>
      <c r="D48" s="5245"/>
      <c r="E48" s="292">
        <f>SUM(E7,E22,E25,E32,E36+E28)</f>
        <v>33988731</v>
      </c>
      <c r="F48" s="293">
        <f>SUM(F7,F22,F25,F32,F36,F28)</f>
        <v>28481807</v>
      </c>
      <c r="G48" s="292"/>
      <c r="H48" s="292">
        <f>SUM(H7,H22,H25,H32,H36,H28)</f>
        <v>33988731</v>
      </c>
      <c r="I48" s="293">
        <f t="shared" ref="I48:K48" si="7">SUM(I7,I22,I25,I32,I36,I28)</f>
        <v>28481807</v>
      </c>
      <c r="J48" s="293">
        <f t="shared" si="7"/>
        <v>13492262.5</v>
      </c>
      <c r="K48" s="293">
        <f t="shared" si="7"/>
        <v>14989544.5</v>
      </c>
      <c r="L48" s="272"/>
      <c r="M48" s="26"/>
    </row>
    <row r="50" spans="5:12">
      <c r="J50" s="27">
        <f>SUM(J48:K48)</f>
        <v>28481807</v>
      </c>
    </row>
    <row r="51" spans="5:12">
      <c r="E51" s="27"/>
      <c r="F51" s="27">
        <f>28421610.15+60196.85</f>
        <v>28481807</v>
      </c>
      <c r="G51" s="27"/>
      <c r="H51" s="27"/>
      <c r="I51" s="27"/>
      <c r="J51" s="27"/>
      <c r="K51" s="27"/>
    </row>
    <row r="52" spans="5:12">
      <c r="E52" s="27"/>
      <c r="F52" s="27"/>
      <c r="G52" s="27"/>
      <c r="H52" s="27">
        <f>SUM(E48-H48)</f>
        <v>0</v>
      </c>
      <c r="I52" s="27"/>
      <c r="J52" s="27"/>
      <c r="K52" s="27"/>
    </row>
    <row r="53" spans="5:12">
      <c r="L53" s="274"/>
    </row>
    <row r="54" spans="5:12">
      <c r="F54" s="248">
        <f>F51-F48</f>
        <v>0</v>
      </c>
    </row>
    <row r="55" spans="5:12">
      <c r="E55" s="27"/>
      <c r="F55" s="27"/>
      <c r="G55" s="27"/>
      <c r="H55" s="27"/>
      <c r="I55" s="27"/>
      <c r="J55" s="27"/>
    </row>
    <row r="56" spans="5:12">
      <c r="J56" s="27"/>
    </row>
  </sheetData>
  <mergeCells count="63">
    <mergeCell ref="L30:L31"/>
    <mergeCell ref="C44:C47"/>
    <mergeCell ref="B44:B47"/>
    <mergeCell ref="A43:A47"/>
    <mergeCell ref="F30:F31"/>
    <mergeCell ref="G30:G31"/>
    <mergeCell ref="H30:H31"/>
    <mergeCell ref="I30:I31"/>
    <mergeCell ref="J30:J31"/>
    <mergeCell ref="K30:K31"/>
    <mergeCell ref="E30:E31"/>
    <mergeCell ref="J34:J35"/>
    <mergeCell ref="K34:K35"/>
    <mergeCell ref="L34:L35"/>
    <mergeCell ref="E34:E35"/>
    <mergeCell ref="F34:F35"/>
    <mergeCell ref="A48:D48"/>
    <mergeCell ref="A29:A31"/>
    <mergeCell ref="B30:B31"/>
    <mergeCell ref="C30:C31"/>
    <mergeCell ref="D30:D31"/>
    <mergeCell ref="A37:A40"/>
    <mergeCell ref="D44:D45"/>
    <mergeCell ref="D34:D35"/>
    <mergeCell ref="G34:G35"/>
    <mergeCell ref="H34:H35"/>
    <mergeCell ref="I34:I35"/>
    <mergeCell ref="C17:C19"/>
    <mergeCell ref="A23:A24"/>
    <mergeCell ref="A26:A27"/>
    <mergeCell ref="A33:A35"/>
    <mergeCell ref="B34:B35"/>
    <mergeCell ref="C34:C35"/>
    <mergeCell ref="G16:G19"/>
    <mergeCell ref="H16:H19"/>
    <mergeCell ref="I16:I19"/>
    <mergeCell ref="F16:F19"/>
    <mergeCell ref="J16:J19"/>
    <mergeCell ref="K16:K19"/>
    <mergeCell ref="L16:L19"/>
    <mergeCell ref="L4:L6"/>
    <mergeCell ref="H5:H6"/>
    <mergeCell ref="I5:I6"/>
    <mergeCell ref="J5:K5"/>
    <mergeCell ref="A8:A15"/>
    <mergeCell ref="A16:A21"/>
    <mergeCell ref="B16:B19"/>
    <mergeCell ref="D16:D19"/>
    <mergeCell ref="E16:E19"/>
    <mergeCell ref="C9:C10"/>
    <mergeCell ref="B9:B10"/>
    <mergeCell ref="B12:B13"/>
    <mergeCell ref="C12:C13"/>
    <mergeCell ref="A1:L1"/>
    <mergeCell ref="A2:L2"/>
    <mergeCell ref="A3:B3"/>
    <mergeCell ref="A4:A6"/>
    <mergeCell ref="B4:B6"/>
    <mergeCell ref="C4:C6"/>
    <mergeCell ref="D4:D6"/>
    <mergeCell ref="E4:F5"/>
    <mergeCell ref="G4:G6"/>
    <mergeCell ref="H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Footer>Strona &amp;P z &amp;N</oddFooter>
  </headerFooter>
  <rowBreaks count="3" manualBreakCount="3">
    <brk id="15" max="11" man="1"/>
    <brk id="31" max="11" man="1"/>
    <brk id="4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A3CB-7AD6-41DE-ACA3-919ECD8A200B}">
  <sheetPr>
    <pageSetUpPr fitToPage="1"/>
  </sheetPr>
  <dimension ref="A1:N139"/>
  <sheetViews>
    <sheetView view="pageBreakPreview" topLeftCell="A98" zoomScale="85" zoomScaleNormal="100" zoomScaleSheetLayoutView="85" workbookViewId="0">
      <selection activeCell="K153" sqref="K153"/>
    </sheetView>
  </sheetViews>
  <sheetFormatPr defaultRowHeight="14.25"/>
  <cols>
    <col min="1" max="1" width="7.42578125" style="294" customWidth="1"/>
    <col min="2" max="2" width="11" style="294" customWidth="1"/>
    <col min="3" max="3" width="33.7109375" style="1" customWidth="1"/>
    <col min="4" max="4" width="11.42578125" style="2" customWidth="1"/>
    <col min="5" max="5" width="15" style="2" customWidth="1"/>
    <col min="6" max="6" width="16.85546875" style="2" customWidth="1"/>
    <col min="7" max="7" width="16.7109375" style="2" customWidth="1"/>
    <col min="8" max="8" width="16.5703125" style="2" customWidth="1"/>
    <col min="9" max="9" width="78.140625" style="298" customWidth="1"/>
    <col min="10" max="254" width="9.140625" style="3"/>
    <col min="255" max="255" width="7" style="3" customWidth="1"/>
    <col min="256" max="256" width="10.7109375" style="3" customWidth="1"/>
    <col min="257" max="257" width="15.7109375" style="3" customWidth="1"/>
    <col min="258" max="259" width="13.42578125" style="3" customWidth="1"/>
    <col min="260" max="260" width="17.85546875" style="3" customWidth="1"/>
    <col min="261" max="261" width="16" style="3" customWidth="1"/>
    <col min="262" max="262" width="43.42578125" style="3" customWidth="1"/>
    <col min="263" max="510" width="9.140625" style="3"/>
    <col min="511" max="511" width="7" style="3" customWidth="1"/>
    <col min="512" max="512" width="10.7109375" style="3" customWidth="1"/>
    <col min="513" max="513" width="15.7109375" style="3" customWidth="1"/>
    <col min="514" max="515" width="13.42578125" style="3" customWidth="1"/>
    <col min="516" max="516" width="17.85546875" style="3" customWidth="1"/>
    <col min="517" max="517" width="16" style="3" customWidth="1"/>
    <col min="518" max="518" width="43.42578125" style="3" customWidth="1"/>
    <col min="519" max="766" width="9.140625" style="3"/>
    <col min="767" max="767" width="7" style="3" customWidth="1"/>
    <col min="768" max="768" width="10.7109375" style="3" customWidth="1"/>
    <col min="769" max="769" width="15.7109375" style="3" customWidth="1"/>
    <col min="770" max="771" width="13.42578125" style="3" customWidth="1"/>
    <col min="772" max="772" width="17.85546875" style="3" customWidth="1"/>
    <col min="773" max="773" width="16" style="3" customWidth="1"/>
    <col min="774" max="774" width="43.42578125" style="3" customWidth="1"/>
    <col min="775" max="1022" width="9.140625" style="3"/>
    <col min="1023" max="1023" width="7" style="3" customWidth="1"/>
    <col min="1024" max="1024" width="10.7109375" style="3" customWidth="1"/>
    <col min="1025" max="1025" width="15.7109375" style="3" customWidth="1"/>
    <col min="1026" max="1027" width="13.42578125" style="3" customWidth="1"/>
    <col min="1028" max="1028" width="17.85546875" style="3" customWidth="1"/>
    <col min="1029" max="1029" width="16" style="3" customWidth="1"/>
    <col min="1030" max="1030" width="43.42578125" style="3" customWidth="1"/>
    <col min="1031" max="1278" width="9.140625" style="3"/>
    <col min="1279" max="1279" width="7" style="3" customWidth="1"/>
    <col min="1280" max="1280" width="10.7109375" style="3" customWidth="1"/>
    <col min="1281" max="1281" width="15.7109375" style="3" customWidth="1"/>
    <col min="1282" max="1283" width="13.42578125" style="3" customWidth="1"/>
    <col min="1284" max="1284" width="17.85546875" style="3" customWidth="1"/>
    <col min="1285" max="1285" width="16" style="3" customWidth="1"/>
    <col min="1286" max="1286" width="43.42578125" style="3" customWidth="1"/>
    <col min="1287" max="1534" width="9.140625" style="3"/>
    <col min="1535" max="1535" width="7" style="3" customWidth="1"/>
    <col min="1536" max="1536" width="10.7109375" style="3" customWidth="1"/>
    <col min="1537" max="1537" width="15.7109375" style="3" customWidth="1"/>
    <col min="1538" max="1539" width="13.42578125" style="3" customWidth="1"/>
    <col min="1540" max="1540" width="17.85546875" style="3" customWidth="1"/>
    <col min="1541" max="1541" width="16" style="3" customWidth="1"/>
    <col min="1542" max="1542" width="43.42578125" style="3" customWidth="1"/>
    <col min="1543" max="1790" width="9.140625" style="3"/>
    <col min="1791" max="1791" width="7" style="3" customWidth="1"/>
    <col min="1792" max="1792" width="10.7109375" style="3" customWidth="1"/>
    <col min="1793" max="1793" width="15.7109375" style="3" customWidth="1"/>
    <col min="1794" max="1795" width="13.42578125" style="3" customWidth="1"/>
    <col min="1796" max="1796" width="17.85546875" style="3" customWidth="1"/>
    <col min="1797" max="1797" width="16" style="3" customWidth="1"/>
    <col min="1798" max="1798" width="43.42578125" style="3" customWidth="1"/>
    <col min="1799" max="2046" width="9.140625" style="3"/>
    <col min="2047" max="2047" width="7" style="3" customWidth="1"/>
    <col min="2048" max="2048" width="10.7109375" style="3" customWidth="1"/>
    <col min="2049" max="2049" width="15.7109375" style="3" customWidth="1"/>
    <col min="2050" max="2051" width="13.42578125" style="3" customWidth="1"/>
    <col min="2052" max="2052" width="17.85546875" style="3" customWidth="1"/>
    <col min="2053" max="2053" width="16" style="3" customWidth="1"/>
    <col min="2054" max="2054" width="43.42578125" style="3" customWidth="1"/>
    <col min="2055" max="2302" width="9.140625" style="3"/>
    <col min="2303" max="2303" width="7" style="3" customWidth="1"/>
    <col min="2304" max="2304" width="10.7109375" style="3" customWidth="1"/>
    <col min="2305" max="2305" width="15.7109375" style="3" customWidth="1"/>
    <col min="2306" max="2307" width="13.42578125" style="3" customWidth="1"/>
    <col min="2308" max="2308" width="17.85546875" style="3" customWidth="1"/>
    <col min="2309" max="2309" width="16" style="3" customWidth="1"/>
    <col min="2310" max="2310" width="43.42578125" style="3" customWidth="1"/>
    <col min="2311" max="2558" width="9.140625" style="3"/>
    <col min="2559" max="2559" width="7" style="3" customWidth="1"/>
    <col min="2560" max="2560" width="10.7109375" style="3" customWidth="1"/>
    <col min="2561" max="2561" width="15.7109375" style="3" customWidth="1"/>
    <col min="2562" max="2563" width="13.42578125" style="3" customWidth="1"/>
    <col min="2564" max="2564" width="17.85546875" style="3" customWidth="1"/>
    <col min="2565" max="2565" width="16" style="3" customWidth="1"/>
    <col min="2566" max="2566" width="43.42578125" style="3" customWidth="1"/>
    <col min="2567" max="2814" width="9.140625" style="3"/>
    <col min="2815" max="2815" width="7" style="3" customWidth="1"/>
    <col min="2816" max="2816" width="10.7109375" style="3" customWidth="1"/>
    <col min="2817" max="2817" width="15.7109375" style="3" customWidth="1"/>
    <col min="2818" max="2819" width="13.42578125" style="3" customWidth="1"/>
    <col min="2820" max="2820" width="17.85546875" style="3" customWidth="1"/>
    <col min="2821" max="2821" width="16" style="3" customWidth="1"/>
    <col min="2822" max="2822" width="43.42578125" style="3" customWidth="1"/>
    <col min="2823" max="3070" width="9.140625" style="3"/>
    <col min="3071" max="3071" width="7" style="3" customWidth="1"/>
    <col min="3072" max="3072" width="10.7109375" style="3" customWidth="1"/>
    <col min="3073" max="3073" width="15.7109375" style="3" customWidth="1"/>
    <col min="3074" max="3075" width="13.42578125" style="3" customWidth="1"/>
    <col min="3076" max="3076" width="17.85546875" style="3" customWidth="1"/>
    <col min="3077" max="3077" width="16" style="3" customWidth="1"/>
    <col min="3078" max="3078" width="43.42578125" style="3" customWidth="1"/>
    <col min="3079" max="3326" width="9.140625" style="3"/>
    <col min="3327" max="3327" width="7" style="3" customWidth="1"/>
    <col min="3328" max="3328" width="10.7109375" style="3" customWidth="1"/>
    <col min="3329" max="3329" width="15.7109375" style="3" customWidth="1"/>
    <col min="3330" max="3331" width="13.42578125" style="3" customWidth="1"/>
    <col min="3332" max="3332" width="17.85546875" style="3" customWidth="1"/>
    <col min="3333" max="3333" width="16" style="3" customWidth="1"/>
    <col min="3334" max="3334" width="43.42578125" style="3" customWidth="1"/>
    <col min="3335" max="3582" width="9.140625" style="3"/>
    <col min="3583" max="3583" width="7" style="3" customWidth="1"/>
    <col min="3584" max="3584" width="10.7109375" style="3" customWidth="1"/>
    <col min="3585" max="3585" width="15.7109375" style="3" customWidth="1"/>
    <col min="3586" max="3587" width="13.42578125" style="3" customWidth="1"/>
    <col min="3588" max="3588" width="17.85546875" style="3" customWidth="1"/>
    <col min="3589" max="3589" width="16" style="3" customWidth="1"/>
    <col min="3590" max="3590" width="43.42578125" style="3" customWidth="1"/>
    <col min="3591" max="3838" width="9.140625" style="3"/>
    <col min="3839" max="3839" width="7" style="3" customWidth="1"/>
    <col min="3840" max="3840" width="10.7109375" style="3" customWidth="1"/>
    <col min="3841" max="3841" width="15.7109375" style="3" customWidth="1"/>
    <col min="3842" max="3843" width="13.42578125" style="3" customWidth="1"/>
    <col min="3844" max="3844" width="17.85546875" style="3" customWidth="1"/>
    <col min="3845" max="3845" width="16" style="3" customWidth="1"/>
    <col min="3846" max="3846" width="43.42578125" style="3" customWidth="1"/>
    <col min="3847" max="4094" width="9.140625" style="3"/>
    <col min="4095" max="4095" width="7" style="3" customWidth="1"/>
    <col min="4096" max="4096" width="10.7109375" style="3" customWidth="1"/>
    <col min="4097" max="4097" width="15.7109375" style="3" customWidth="1"/>
    <col min="4098" max="4099" width="13.42578125" style="3" customWidth="1"/>
    <col min="4100" max="4100" width="17.85546875" style="3" customWidth="1"/>
    <col min="4101" max="4101" width="16" style="3" customWidth="1"/>
    <col min="4102" max="4102" width="43.42578125" style="3" customWidth="1"/>
    <col min="4103" max="4350" width="9.140625" style="3"/>
    <col min="4351" max="4351" width="7" style="3" customWidth="1"/>
    <col min="4352" max="4352" width="10.7109375" style="3" customWidth="1"/>
    <col min="4353" max="4353" width="15.7109375" style="3" customWidth="1"/>
    <col min="4354" max="4355" width="13.42578125" style="3" customWidth="1"/>
    <col min="4356" max="4356" width="17.85546875" style="3" customWidth="1"/>
    <col min="4357" max="4357" width="16" style="3" customWidth="1"/>
    <col min="4358" max="4358" width="43.42578125" style="3" customWidth="1"/>
    <col min="4359" max="4606" width="9.140625" style="3"/>
    <col min="4607" max="4607" width="7" style="3" customWidth="1"/>
    <col min="4608" max="4608" width="10.7109375" style="3" customWidth="1"/>
    <col min="4609" max="4609" width="15.7109375" style="3" customWidth="1"/>
    <col min="4610" max="4611" width="13.42578125" style="3" customWidth="1"/>
    <col min="4612" max="4612" width="17.85546875" style="3" customWidth="1"/>
    <col min="4613" max="4613" width="16" style="3" customWidth="1"/>
    <col min="4614" max="4614" width="43.42578125" style="3" customWidth="1"/>
    <col min="4615" max="4862" width="9.140625" style="3"/>
    <col min="4863" max="4863" width="7" style="3" customWidth="1"/>
    <col min="4864" max="4864" width="10.7109375" style="3" customWidth="1"/>
    <col min="4865" max="4865" width="15.7109375" style="3" customWidth="1"/>
    <col min="4866" max="4867" width="13.42578125" style="3" customWidth="1"/>
    <col min="4868" max="4868" width="17.85546875" style="3" customWidth="1"/>
    <col min="4869" max="4869" width="16" style="3" customWidth="1"/>
    <col min="4870" max="4870" width="43.42578125" style="3" customWidth="1"/>
    <col min="4871" max="5118" width="9.140625" style="3"/>
    <col min="5119" max="5119" width="7" style="3" customWidth="1"/>
    <col min="5120" max="5120" width="10.7109375" style="3" customWidth="1"/>
    <col min="5121" max="5121" width="15.7109375" style="3" customWidth="1"/>
    <col min="5122" max="5123" width="13.42578125" style="3" customWidth="1"/>
    <col min="5124" max="5124" width="17.85546875" style="3" customWidth="1"/>
    <col min="5125" max="5125" width="16" style="3" customWidth="1"/>
    <col min="5126" max="5126" width="43.42578125" style="3" customWidth="1"/>
    <col min="5127" max="5374" width="9.140625" style="3"/>
    <col min="5375" max="5375" width="7" style="3" customWidth="1"/>
    <col min="5376" max="5376" width="10.7109375" style="3" customWidth="1"/>
    <col min="5377" max="5377" width="15.7109375" style="3" customWidth="1"/>
    <col min="5378" max="5379" width="13.42578125" style="3" customWidth="1"/>
    <col min="5380" max="5380" width="17.85546875" style="3" customWidth="1"/>
    <col min="5381" max="5381" width="16" style="3" customWidth="1"/>
    <col min="5382" max="5382" width="43.42578125" style="3" customWidth="1"/>
    <col min="5383" max="5630" width="9.140625" style="3"/>
    <col min="5631" max="5631" width="7" style="3" customWidth="1"/>
    <col min="5632" max="5632" width="10.7109375" style="3" customWidth="1"/>
    <col min="5633" max="5633" width="15.7109375" style="3" customWidth="1"/>
    <col min="5634" max="5635" width="13.42578125" style="3" customWidth="1"/>
    <col min="5636" max="5636" width="17.85546875" style="3" customWidth="1"/>
    <col min="5637" max="5637" width="16" style="3" customWidth="1"/>
    <col min="5638" max="5638" width="43.42578125" style="3" customWidth="1"/>
    <col min="5639" max="5886" width="9.140625" style="3"/>
    <col min="5887" max="5887" width="7" style="3" customWidth="1"/>
    <col min="5888" max="5888" width="10.7109375" style="3" customWidth="1"/>
    <col min="5889" max="5889" width="15.7109375" style="3" customWidth="1"/>
    <col min="5890" max="5891" width="13.42578125" style="3" customWidth="1"/>
    <col min="5892" max="5892" width="17.85546875" style="3" customWidth="1"/>
    <col min="5893" max="5893" width="16" style="3" customWidth="1"/>
    <col min="5894" max="5894" width="43.42578125" style="3" customWidth="1"/>
    <col min="5895" max="6142" width="9.140625" style="3"/>
    <col min="6143" max="6143" width="7" style="3" customWidth="1"/>
    <col min="6144" max="6144" width="10.7109375" style="3" customWidth="1"/>
    <col min="6145" max="6145" width="15.7109375" style="3" customWidth="1"/>
    <col min="6146" max="6147" width="13.42578125" style="3" customWidth="1"/>
    <col min="6148" max="6148" width="17.85546875" style="3" customWidth="1"/>
    <col min="6149" max="6149" width="16" style="3" customWidth="1"/>
    <col min="6150" max="6150" width="43.42578125" style="3" customWidth="1"/>
    <col min="6151" max="6398" width="9.140625" style="3"/>
    <col min="6399" max="6399" width="7" style="3" customWidth="1"/>
    <col min="6400" max="6400" width="10.7109375" style="3" customWidth="1"/>
    <col min="6401" max="6401" width="15.7109375" style="3" customWidth="1"/>
    <col min="6402" max="6403" width="13.42578125" style="3" customWidth="1"/>
    <col min="6404" max="6404" width="17.85546875" style="3" customWidth="1"/>
    <col min="6405" max="6405" width="16" style="3" customWidth="1"/>
    <col min="6406" max="6406" width="43.42578125" style="3" customWidth="1"/>
    <col min="6407" max="6654" width="9.140625" style="3"/>
    <col min="6655" max="6655" width="7" style="3" customWidth="1"/>
    <col min="6656" max="6656" width="10.7109375" style="3" customWidth="1"/>
    <col min="6657" max="6657" width="15.7109375" style="3" customWidth="1"/>
    <col min="6658" max="6659" width="13.42578125" style="3" customWidth="1"/>
    <col min="6660" max="6660" width="17.85546875" style="3" customWidth="1"/>
    <col min="6661" max="6661" width="16" style="3" customWidth="1"/>
    <col min="6662" max="6662" width="43.42578125" style="3" customWidth="1"/>
    <col min="6663" max="6910" width="9.140625" style="3"/>
    <col min="6911" max="6911" width="7" style="3" customWidth="1"/>
    <col min="6912" max="6912" width="10.7109375" style="3" customWidth="1"/>
    <col min="6913" max="6913" width="15.7109375" style="3" customWidth="1"/>
    <col min="6914" max="6915" width="13.42578125" style="3" customWidth="1"/>
    <col min="6916" max="6916" width="17.85546875" style="3" customWidth="1"/>
    <col min="6917" max="6917" width="16" style="3" customWidth="1"/>
    <col min="6918" max="6918" width="43.42578125" style="3" customWidth="1"/>
    <col min="6919" max="7166" width="9.140625" style="3"/>
    <col min="7167" max="7167" width="7" style="3" customWidth="1"/>
    <col min="7168" max="7168" width="10.7109375" style="3" customWidth="1"/>
    <col min="7169" max="7169" width="15.7109375" style="3" customWidth="1"/>
    <col min="7170" max="7171" width="13.42578125" style="3" customWidth="1"/>
    <col min="7172" max="7172" width="17.85546875" style="3" customWidth="1"/>
    <col min="7173" max="7173" width="16" style="3" customWidth="1"/>
    <col min="7174" max="7174" width="43.42578125" style="3" customWidth="1"/>
    <col min="7175" max="7422" width="9.140625" style="3"/>
    <col min="7423" max="7423" width="7" style="3" customWidth="1"/>
    <col min="7424" max="7424" width="10.7109375" style="3" customWidth="1"/>
    <col min="7425" max="7425" width="15.7109375" style="3" customWidth="1"/>
    <col min="7426" max="7427" width="13.42578125" style="3" customWidth="1"/>
    <col min="7428" max="7428" width="17.85546875" style="3" customWidth="1"/>
    <col min="7429" max="7429" width="16" style="3" customWidth="1"/>
    <col min="7430" max="7430" width="43.42578125" style="3" customWidth="1"/>
    <col min="7431" max="7678" width="9.140625" style="3"/>
    <col min="7679" max="7679" width="7" style="3" customWidth="1"/>
    <col min="7680" max="7680" width="10.7109375" style="3" customWidth="1"/>
    <col min="7681" max="7681" width="15.7109375" style="3" customWidth="1"/>
    <col min="7682" max="7683" width="13.42578125" style="3" customWidth="1"/>
    <col min="7684" max="7684" width="17.85546875" style="3" customWidth="1"/>
    <col min="7685" max="7685" width="16" style="3" customWidth="1"/>
    <col min="7686" max="7686" width="43.42578125" style="3" customWidth="1"/>
    <col min="7687" max="7934" width="9.140625" style="3"/>
    <col min="7935" max="7935" width="7" style="3" customWidth="1"/>
    <col min="7936" max="7936" width="10.7109375" style="3" customWidth="1"/>
    <col min="7937" max="7937" width="15.7109375" style="3" customWidth="1"/>
    <col min="7938" max="7939" width="13.42578125" style="3" customWidth="1"/>
    <col min="7940" max="7940" width="17.85546875" style="3" customWidth="1"/>
    <col min="7941" max="7941" width="16" style="3" customWidth="1"/>
    <col min="7942" max="7942" width="43.42578125" style="3" customWidth="1"/>
    <col min="7943" max="8190" width="9.140625" style="3"/>
    <col min="8191" max="8191" width="7" style="3" customWidth="1"/>
    <col min="8192" max="8192" width="10.7109375" style="3" customWidth="1"/>
    <col min="8193" max="8193" width="15.7109375" style="3" customWidth="1"/>
    <col min="8194" max="8195" width="13.42578125" style="3" customWidth="1"/>
    <col min="8196" max="8196" width="17.85546875" style="3" customWidth="1"/>
    <col min="8197" max="8197" width="16" style="3" customWidth="1"/>
    <col min="8198" max="8198" width="43.42578125" style="3" customWidth="1"/>
    <col min="8199" max="8446" width="9.140625" style="3"/>
    <col min="8447" max="8447" width="7" style="3" customWidth="1"/>
    <col min="8448" max="8448" width="10.7109375" style="3" customWidth="1"/>
    <col min="8449" max="8449" width="15.7109375" style="3" customWidth="1"/>
    <col min="8450" max="8451" width="13.42578125" style="3" customWidth="1"/>
    <col min="8452" max="8452" width="17.85546875" style="3" customWidth="1"/>
    <col min="8453" max="8453" width="16" style="3" customWidth="1"/>
    <col min="8454" max="8454" width="43.42578125" style="3" customWidth="1"/>
    <col min="8455" max="8702" width="9.140625" style="3"/>
    <col min="8703" max="8703" width="7" style="3" customWidth="1"/>
    <col min="8704" max="8704" width="10.7109375" style="3" customWidth="1"/>
    <col min="8705" max="8705" width="15.7109375" style="3" customWidth="1"/>
    <col min="8706" max="8707" width="13.42578125" style="3" customWidth="1"/>
    <col min="8708" max="8708" width="17.85546875" style="3" customWidth="1"/>
    <col min="8709" max="8709" width="16" style="3" customWidth="1"/>
    <col min="8710" max="8710" width="43.42578125" style="3" customWidth="1"/>
    <col min="8711" max="8958" width="9.140625" style="3"/>
    <col min="8959" max="8959" width="7" style="3" customWidth="1"/>
    <col min="8960" max="8960" width="10.7109375" style="3" customWidth="1"/>
    <col min="8961" max="8961" width="15.7109375" style="3" customWidth="1"/>
    <col min="8962" max="8963" width="13.42578125" style="3" customWidth="1"/>
    <col min="8964" max="8964" width="17.85546875" style="3" customWidth="1"/>
    <col min="8965" max="8965" width="16" style="3" customWidth="1"/>
    <col min="8966" max="8966" width="43.42578125" style="3" customWidth="1"/>
    <col min="8967" max="9214" width="9.140625" style="3"/>
    <col min="9215" max="9215" width="7" style="3" customWidth="1"/>
    <col min="9216" max="9216" width="10.7109375" style="3" customWidth="1"/>
    <col min="9217" max="9217" width="15.7109375" style="3" customWidth="1"/>
    <col min="9218" max="9219" width="13.42578125" style="3" customWidth="1"/>
    <col min="9220" max="9220" width="17.85546875" style="3" customWidth="1"/>
    <col min="9221" max="9221" width="16" style="3" customWidth="1"/>
    <col min="9222" max="9222" width="43.42578125" style="3" customWidth="1"/>
    <col min="9223" max="9470" width="9.140625" style="3"/>
    <col min="9471" max="9471" width="7" style="3" customWidth="1"/>
    <col min="9472" max="9472" width="10.7109375" style="3" customWidth="1"/>
    <col min="9473" max="9473" width="15.7109375" style="3" customWidth="1"/>
    <col min="9474" max="9475" width="13.42578125" style="3" customWidth="1"/>
    <col min="9476" max="9476" width="17.85546875" style="3" customWidth="1"/>
    <col min="9477" max="9477" width="16" style="3" customWidth="1"/>
    <col min="9478" max="9478" width="43.42578125" style="3" customWidth="1"/>
    <col min="9479" max="9726" width="9.140625" style="3"/>
    <col min="9727" max="9727" width="7" style="3" customWidth="1"/>
    <col min="9728" max="9728" width="10.7109375" style="3" customWidth="1"/>
    <col min="9729" max="9729" width="15.7109375" style="3" customWidth="1"/>
    <col min="9730" max="9731" width="13.42578125" style="3" customWidth="1"/>
    <col min="9732" max="9732" width="17.85546875" style="3" customWidth="1"/>
    <col min="9733" max="9733" width="16" style="3" customWidth="1"/>
    <col min="9734" max="9734" width="43.42578125" style="3" customWidth="1"/>
    <col min="9735" max="9982" width="9.140625" style="3"/>
    <col min="9983" max="9983" width="7" style="3" customWidth="1"/>
    <col min="9984" max="9984" width="10.7109375" style="3" customWidth="1"/>
    <col min="9985" max="9985" width="15.7109375" style="3" customWidth="1"/>
    <col min="9986" max="9987" width="13.42578125" style="3" customWidth="1"/>
    <col min="9988" max="9988" width="17.85546875" style="3" customWidth="1"/>
    <col min="9989" max="9989" width="16" style="3" customWidth="1"/>
    <col min="9990" max="9990" width="43.42578125" style="3" customWidth="1"/>
    <col min="9991" max="10238" width="9.140625" style="3"/>
    <col min="10239" max="10239" width="7" style="3" customWidth="1"/>
    <col min="10240" max="10240" width="10.7109375" style="3" customWidth="1"/>
    <col min="10241" max="10241" width="15.7109375" style="3" customWidth="1"/>
    <col min="10242" max="10243" width="13.42578125" style="3" customWidth="1"/>
    <col min="10244" max="10244" width="17.85546875" style="3" customWidth="1"/>
    <col min="10245" max="10245" width="16" style="3" customWidth="1"/>
    <col min="10246" max="10246" width="43.42578125" style="3" customWidth="1"/>
    <col min="10247" max="10494" width="9.140625" style="3"/>
    <col min="10495" max="10495" width="7" style="3" customWidth="1"/>
    <col min="10496" max="10496" width="10.7109375" style="3" customWidth="1"/>
    <col min="10497" max="10497" width="15.7109375" style="3" customWidth="1"/>
    <col min="10498" max="10499" width="13.42578125" style="3" customWidth="1"/>
    <col min="10500" max="10500" width="17.85546875" style="3" customWidth="1"/>
    <col min="10501" max="10501" width="16" style="3" customWidth="1"/>
    <col min="10502" max="10502" width="43.42578125" style="3" customWidth="1"/>
    <col min="10503" max="10750" width="9.140625" style="3"/>
    <col min="10751" max="10751" width="7" style="3" customWidth="1"/>
    <col min="10752" max="10752" width="10.7109375" style="3" customWidth="1"/>
    <col min="10753" max="10753" width="15.7109375" style="3" customWidth="1"/>
    <col min="10754" max="10755" width="13.42578125" style="3" customWidth="1"/>
    <col min="10756" max="10756" width="17.85546875" style="3" customWidth="1"/>
    <col min="10757" max="10757" width="16" style="3" customWidth="1"/>
    <col min="10758" max="10758" width="43.42578125" style="3" customWidth="1"/>
    <col min="10759" max="11006" width="9.140625" style="3"/>
    <col min="11007" max="11007" width="7" style="3" customWidth="1"/>
    <col min="11008" max="11008" width="10.7109375" style="3" customWidth="1"/>
    <col min="11009" max="11009" width="15.7109375" style="3" customWidth="1"/>
    <col min="11010" max="11011" width="13.42578125" style="3" customWidth="1"/>
    <col min="11012" max="11012" width="17.85546875" style="3" customWidth="1"/>
    <col min="11013" max="11013" width="16" style="3" customWidth="1"/>
    <col min="11014" max="11014" width="43.42578125" style="3" customWidth="1"/>
    <col min="11015" max="11262" width="9.140625" style="3"/>
    <col min="11263" max="11263" width="7" style="3" customWidth="1"/>
    <col min="11264" max="11264" width="10.7109375" style="3" customWidth="1"/>
    <col min="11265" max="11265" width="15.7109375" style="3" customWidth="1"/>
    <col min="11266" max="11267" width="13.42578125" style="3" customWidth="1"/>
    <col min="11268" max="11268" width="17.85546875" style="3" customWidth="1"/>
    <col min="11269" max="11269" width="16" style="3" customWidth="1"/>
    <col min="11270" max="11270" width="43.42578125" style="3" customWidth="1"/>
    <col min="11271" max="11518" width="9.140625" style="3"/>
    <col min="11519" max="11519" width="7" style="3" customWidth="1"/>
    <col min="11520" max="11520" width="10.7109375" style="3" customWidth="1"/>
    <col min="11521" max="11521" width="15.7109375" style="3" customWidth="1"/>
    <col min="11522" max="11523" width="13.42578125" style="3" customWidth="1"/>
    <col min="11524" max="11524" width="17.85546875" style="3" customWidth="1"/>
    <col min="11525" max="11525" width="16" style="3" customWidth="1"/>
    <col min="11526" max="11526" width="43.42578125" style="3" customWidth="1"/>
    <col min="11527" max="11774" width="9.140625" style="3"/>
    <col min="11775" max="11775" width="7" style="3" customWidth="1"/>
    <col min="11776" max="11776" width="10.7109375" style="3" customWidth="1"/>
    <col min="11777" max="11777" width="15.7109375" style="3" customWidth="1"/>
    <col min="11778" max="11779" width="13.42578125" style="3" customWidth="1"/>
    <col min="11780" max="11780" width="17.85546875" style="3" customWidth="1"/>
    <col min="11781" max="11781" width="16" style="3" customWidth="1"/>
    <col min="11782" max="11782" width="43.42578125" style="3" customWidth="1"/>
    <col min="11783" max="12030" width="9.140625" style="3"/>
    <col min="12031" max="12031" width="7" style="3" customWidth="1"/>
    <col min="12032" max="12032" width="10.7109375" style="3" customWidth="1"/>
    <col min="12033" max="12033" width="15.7109375" style="3" customWidth="1"/>
    <col min="12034" max="12035" width="13.42578125" style="3" customWidth="1"/>
    <col min="12036" max="12036" width="17.85546875" style="3" customWidth="1"/>
    <col min="12037" max="12037" width="16" style="3" customWidth="1"/>
    <col min="12038" max="12038" width="43.42578125" style="3" customWidth="1"/>
    <col min="12039" max="12286" width="9.140625" style="3"/>
    <col min="12287" max="12287" width="7" style="3" customWidth="1"/>
    <col min="12288" max="12288" width="10.7109375" style="3" customWidth="1"/>
    <col min="12289" max="12289" width="15.7109375" style="3" customWidth="1"/>
    <col min="12290" max="12291" width="13.42578125" style="3" customWidth="1"/>
    <col min="12292" max="12292" width="17.85546875" style="3" customWidth="1"/>
    <col min="12293" max="12293" width="16" style="3" customWidth="1"/>
    <col min="12294" max="12294" width="43.42578125" style="3" customWidth="1"/>
    <col min="12295" max="12542" width="9.140625" style="3"/>
    <col min="12543" max="12543" width="7" style="3" customWidth="1"/>
    <col min="12544" max="12544" width="10.7109375" style="3" customWidth="1"/>
    <col min="12545" max="12545" width="15.7109375" style="3" customWidth="1"/>
    <col min="12546" max="12547" width="13.42578125" style="3" customWidth="1"/>
    <col min="12548" max="12548" width="17.85546875" style="3" customWidth="1"/>
    <col min="12549" max="12549" width="16" style="3" customWidth="1"/>
    <col min="12550" max="12550" width="43.42578125" style="3" customWidth="1"/>
    <col min="12551" max="12798" width="9.140625" style="3"/>
    <col min="12799" max="12799" width="7" style="3" customWidth="1"/>
    <col min="12800" max="12800" width="10.7109375" style="3" customWidth="1"/>
    <col min="12801" max="12801" width="15.7109375" style="3" customWidth="1"/>
    <col min="12802" max="12803" width="13.42578125" style="3" customWidth="1"/>
    <col min="12804" max="12804" width="17.85546875" style="3" customWidth="1"/>
    <col min="12805" max="12805" width="16" style="3" customWidth="1"/>
    <col min="12806" max="12806" width="43.42578125" style="3" customWidth="1"/>
    <col min="12807" max="13054" width="9.140625" style="3"/>
    <col min="13055" max="13055" width="7" style="3" customWidth="1"/>
    <col min="13056" max="13056" width="10.7109375" style="3" customWidth="1"/>
    <col min="13057" max="13057" width="15.7109375" style="3" customWidth="1"/>
    <col min="13058" max="13059" width="13.42578125" style="3" customWidth="1"/>
    <col min="13060" max="13060" width="17.85546875" style="3" customWidth="1"/>
    <col min="13061" max="13061" width="16" style="3" customWidth="1"/>
    <col min="13062" max="13062" width="43.42578125" style="3" customWidth="1"/>
    <col min="13063" max="13310" width="9.140625" style="3"/>
    <col min="13311" max="13311" width="7" style="3" customWidth="1"/>
    <col min="13312" max="13312" width="10.7109375" style="3" customWidth="1"/>
    <col min="13313" max="13313" width="15.7109375" style="3" customWidth="1"/>
    <col min="13314" max="13315" width="13.42578125" style="3" customWidth="1"/>
    <col min="13316" max="13316" width="17.85546875" style="3" customWidth="1"/>
    <col min="13317" max="13317" width="16" style="3" customWidth="1"/>
    <col min="13318" max="13318" width="43.42578125" style="3" customWidth="1"/>
    <col min="13319" max="13566" width="9.140625" style="3"/>
    <col min="13567" max="13567" width="7" style="3" customWidth="1"/>
    <col min="13568" max="13568" width="10.7109375" style="3" customWidth="1"/>
    <col min="13569" max="13569" width="15.7109375" style="3" customWidth="1"/>
    <col min="13570" max="13571" width="13.42578125" style="3" customWidth="1"/>
    <col min="13572" max="13572" width="17.85546875" style="3" customWidth="1"/>
    <col min="13573" max="13573" width="16" style="3" customWidth="1"/>
    <col min="13574" max="13574" width="43.42578125" style="3" customWidth="1"/>
    <col min="13575" max="13822" width="9.140625" style="3"/>
    <col min="13823" max="13823" width="7" style="3" customWidth="1"/>
    <col min="13824" max="13824" width="10.7109375" style="3" customWidth="1"/>
    <col min="13825" max="13825" width="15.7109375" style="3" customWidth="1"/>
    <col min="13826" max="13827" width="13.42578125" style="3" customWidth="1"/>
    <col min="13828" max="13828" width="17.85546875" style="3" customWidth="1"/>
    <col min="13829" max="13829" width="16" style="3" customWidth="1"/>
    <col min="13830" max="13830" width="43.42578125" style="3" customWidth="1"/>
    <col min="13831" max="14078" width="9.140625" style="3"/>
    <col min="14079" max="14079" width="7" style="3" customWidth="1"/>
    <col min="14080" max="14080" width="10.7109375" style="3" customWidth="1"/>
    <col min="14081" max="14081" width="15.7109375" style="3" customWidth="1"/>
    <col min="14082" max="14083" width="13.42578125" style="3" customWidth="1"/>
    <col min="14084" max="14084" width="17.85546875" style="3" customWidth="1"/>
    <col min="14085" max="14085" width="16" style="3" customWidth="1"/>
    <col min="14086" max="14086" width="43.42578125" style="3" customWidth="1"/>
    <col min="14087" max="14334" width="9.140625" style="3"/>
    <col min="14335" max="14335" width="7" style="3" customWidth="1"/>
    <col min="14336" max="14336" width="10.7109375" style="3" customWidth="1"/>
    <col min="14337" max="14337" width="15.7109375" style="3" customWidth="1"/>
    <col min="14338" max="14339" width="13.42578125" style="3" customWidth="1"/>
    <col min="14340" max="14340" width="17.85546875" style="3" customWidth="1"/>
    <col min="14341" max="14341" width="16" style="3" customWidth="1"/>
    <col min="14342" max="14342" width="43.42578125" style="3" customWidth="1"/>
    <col min="14343" max="14590" width="9.140625" style="3"/>
    <col min="14591" max="14591" width="7" style="3" customWidth="1"/>
    <col min="14592" max="14592" width="10.7109375" style="3" customWidth="1"/>
    <col min="14593" max="14593" width="15.7109375" style="3" customWidth="1"/>
    <col min="14594" max="14595" width="13.42578125" style="3" customWidth="1"/>
    <col min="14596" max="14596" width="17.85546875" style="3" customWidth="1"/>
    <col min="14597" max="14597" width="16" style="3" customWidth="1"/>
    <col min="14598" max="14598" width="43.42578125" style="3" customWidth="1"/>
    <col min="14599" max="14846" width="9.140625" style="3"/>
    <col min="14847" max="14847" width="7" style="3" customWidth="1"/>
    <col min="14848" max="14848" width="10.7109375" style="3" customWidth="1"/>
    <col min="14849" max="14849" width="15.7109375" style="3" customWidth="1"/>
    <col min="14850" max="14851" width="13.42578125" style="3" customWidth="1"/>
    <col min="14852" max="14852" width="17.85546875" style="3" customWidth="1"/>
    <col min="14853" max="14853" width="16" style="3" customWidth="1"/>
    <col min="14854" max="14854" width="43.42578125" style="3" customWidth="1"/>
    <col min="14855" max="15102" width="9.140625" style="3"/>
    <col min="15103" max="15103" width="7" style="3" customWidth="1"/>
    <col min="15104" max="15104" width="10.7109375" style="3" customWidth="1"/>
    <col min="15105" max="15105" width="15.7109375" style="3" customWidth="1"/>
    <col min="15106" max="15107" width="13.42578125" style="3" customWidth="1"/>
    <col min="15108" max="15108" width="17.85546875" style="3" customWidth="1"/>
    <col min="15109" max="15109" width="16" style="3" customWidth="1"/>
    <col min="15110" max="15110" width="43.42578125" style="3" customWidth="1"/>
    <col min="15111" max="15358" width="9.140625" style="3"/>
    <col min="15359" max="15359" width="7" style="3" customWidth="1"/>
    <col min="15360" max="15360" width="10.7109375" style="3" customWidth="1"/>
    <col min="15361" max="15361" width="15.7109375" style="3" customWidth="1"/>
    <col min="15362" max="15363" width="13.42578125" style="3" customWidth="1"/>
    <col min="15364" max="15364" width="17.85546875" style="3" customWidth="1"/>
    <col min="15365" max="15365" width="16" style="3" customWidth="1"/>
    <col min="15366" max="15366" width="43.42578125" style="3" customWidth="1"/>
    <col min="15367" max="15614" width="9.140625" style="3"/>
    <col min="15615" max="15615" width="7" style="3" customWidth="1"/>
    <col min="15616" max="15616" width="10.7109375" style="3" customWidth="1"/>
    <col min="15617" max="15617" width="15.7109375" style="3" customWidth="1"/>
    <col min="15618" max="15619" width="13.42578125" style="3" customWidth="1"/>
    <col min="15620" max="15620" width="17.85546875" style="3" customWidth="1"/>
    <col min="15621" max="15621" width="16" style="3" customWidth="1"/>
    <col min="15622" max="15622" width="43.42578125" style="3" customWidth="1"/>
    <col min="15623" max="15870" width="9.140625" style="3"/>
    <col min="15871" max="15871" width="7" style="3" customWidth="1"/>
    <col min="15872" max="15872" width="10.7109375" style="3" customWidth="1"/>
    <col min="15873" max="15873" width="15.7109375" style="3" customWidth="1"/>
    <col min="15874" max="15875" width="13.42578125" style="3" customWidth="1"/>
    <col min="15876" max="15876" width="17.85546875" style="3" customWidth="1"/>
    <col min="15877" max="15877" width="16" style="3" customWidth="1"/>
    <col min="15878" max="15878" width="43.42578125" style="3" customWidth="1"/>
    <col min="15879" max="16126" width="9.140625" style="3"/>
    <col min="16127" max="16127" width="7" style="3" customWidth="1"/>
    <col min="16128" max="16128" width="10.7109375" style="3" customWidth="1"/>
    <col min="16129" max="16129" width="15.7109375" style="3" customWidth="1"/>
    <col min="16130" max="16131" width="13.42578125" style="3" customWidth="1"/>
    <col min="16132" max="16132" width="17.85546875" style="3" customWidth="1"/>
    <col min="16133" max="16133" width="16" style="3" customWidth="1"/>
    <col min="16134" max="16134" width="43.42578125" style="3" customWidth="1"/>
    <col min="16135" max="16384" width="9.140625" style="3"/>
  </cols>
  <sheetData>
    <row r="1" spans="1:9" ht="17.25" customHeight="1"/>
    <row r="2" spans="1:9" ht="45.75" customHeight="1">
      <c r="A2" s="5297" t="s">
        <v>1248</v>
      </c>
      <c r="B2" s="5297"/>
      <c r="C2" s="5297"/>
      <c r="D2" s="5297"/>
      <c r="E2" s="5297"/>
      <c r="F2" s="5297"/>
      <c r="G2" s="5297"/>
      <c r="H2" s="5297"/>
      <c r="I2" s="5297"/>
    </row>
    <row r="3" spans="1:9" ht="18" customHeight="1" thickBot="1">
      <c r="A3" s="5298"/>
      <c r="B3" s="5298"/>
      <c r="C3" s="105"/>
      <c r="D3" s="105"/>
      <c r="E3" s="105"/>
      <c r="F3" s="105"/>
      <c r="G3" s="105"/>
      <c r="H3" s="105"/>
      <c r="I3" s="4239" t="s">
        <v>248</v>
      </c>
    </row>
    <row r="4" spans="1:9" ht="15.75" customHeight="1" thickBot="1">
      <c r="A4" s="5183" t="s">
        <v>1</v>
      </c>
      <c r="B4" s="5170" t="s">
        <v>2</v>
      </c>
      <c r="C4" s="5173" t="s">
        <v>3</v>
      </c>
      <c r="D4" s="5181" t="s">
        <v>4</v>
      </c>
      <c r="E4" s="5182" t="s">
        <v>6</v>
      </c>
      <c r="F4" s="5181"/>
      <c r="G4" s="5181"/>
      <c r="H4" s="5299"/>
      <c r="I4" s="5183" t="s">
        <v>80</v>
      </c>
    </row>
    <row r="5" spans="1:9" ht="21" customHeight="1" thickBot="1">
      <c r="A5" s="5183"/>
      <c r="B5" s="5171"/>
      <c r="C5" s="5174"/>
      <c r="D5" s="5181"/>
      <c r="E5" s="5176" t="s">
        <v>8</v>
      </c>
      <c r="F5" s="5181" t="s">
        <v>9</v>
      </c>
      <c r="G5" s="5301" t="s">
        <v>10</v>
      </c>
      <c r="H5" s="5302"/>
      <c r="I5" s="5183"/>
    </row>
    <row r="6" spans="1:9" ht="24" customHeight="1" thickBot="1">
      <c r="A6" s="5170"/>
      <c r="B6" s="5172"/>
      <c r="C6" s="5175"/>
      <c r="D6" s="5173"/>
      <c r="E6" s="5185"/>
      <c r="F6" s="5173"/>
      <c r="G6" s="3765" t="s">
        <v>11</v>
      </c>
      <c r="H6" s="3766" t="s">
        <v>12</v>
      </c>
      <c r="I6" s="5300"/>
    </row>
    <row r="7" spans="1:9" s="5" customFormat="1" ht="24" customHeight="1" thickBot="1">
      <c r="A7" s="3767" t="s">
        <v>13</v>
      </c>
      <c r="B7" s="3768"/>
      <c r="C7" s="3769" t="s">
        <v>14</v>
      </c>
      <c r="D7" s="3768"/>
      <c r="E7" s="3770">
        <f>SUM(E8)</f>
        <v>12512823</v>
      </c>
      <c r="F7" s="3771">
        <f>SUM(F8)</f>
        <v>11324250.27</v>
      </c>
      <c r="G7" s="3772">
        <f>SUM(G8)</f>
        <v>2945908.8800000004</v>
      </c>
      <c r="H7" s="3771">
        <f t="shared" ref="H7" si="0">SUM(H8)</f>
        <v>8378341.3899999997</v>
      </c>
      <c r="I7" s="3773"/>
    </row>
    <row r="8" spans="1:9" s="6" customFormat="1" ht="38.1" customHeight="1" thickBot="1">
      <c r="A8" s="5230"/>
      <c r="B8" s="3774" t="s">
        <v>16</v>
      </c>
      <c r="C8" s="3775" t="s">
        <v>17</v>
      </c>
      <c r="D8" s="3774"/>
      <c r="E8" s="3776">
        <f>SUM(E9:E12)</f>
        <v>12512823</v>
      </c>
      <c r="F8" s="3777">
        <f>SUM(F9:F12)</f>
        <v>11324250.27</v>
      </c>
      <c r="G8" s="3778">
        <f>SUM(G9:G12)</f>
        <v>2945908.8800000004</v>
      </c>
      <c r="H8" s="3777">
        <f>SUM(H9:H12)</f>
        <v>8378341.3899999997</v>
      </c>
      <c r="I8" s="3779"/>
    </row>
    <row r="9" spans="1:9" ht="53.25" customHeight="1">
      <c r="A9" s="5231"/>
      <c r="B9" s="5318"/>
      <c r="C9" s="5309"/>
      <c r="D9" s="3780" t="s">
        <v>19</v>
      </c>
      <c r="E9" s="3816">
        <v>3393415</v>
      </c>
      <c r="F9" s="3781">
        <f>SUM(G9:H9)</f>
        <v>2895356.47</v>
      </c>
      <c r="G9" s="3817">
        <v>2895356.47</v>
      </c>
      <c r="H9" s="3782">
        <v>0</v>
      </c>
      <c r="I9" s="3783" t="s">
        <v>116</v>
      </c>
    </row>
    <row r="10" spans="1:9" ht="48.75" customHeight="1">
      <c r="A10" s="5231"/>
      <c r="B10" s="5319"/>
      <c r="C10" s="5310"/>
      <c r="D10" s="3784" t="s">
        <v>21</v>
      </c>
      <c r="E10" s="3785">
        <v>180000</v>
      </c>
      <c r="F10" s="3781">
        <f t="shared" ref="F10:F12" si="1">SUM(G10:H10)</f>
        <v>50552.41</v>
      </c>
      <c r="G10" s="3786">
        <v>50552.41</v>
      </c>
      <c r="H10" s="3787">
        <v>0</v>
      </c>
      <c r="I10" s="3788" t="s">
        <v>204</v>
      </c>
    </row>
    <row r="11" spans="1:9" ht="46.5" customHeight="1">
      <c r="A11" s="5231"/>
      <c r="B11" s="5319"/>
      <c r="C11" s="5310"/>
      <c r="D11" s="3784" t="s">
        <v>25</v>
      </c>
      <c r="E11" s="3785">
        <v>8759408</v>
      </c>
      <c r="F11" s="3781">
        <f t="shared" si="1"/>
        <v>8359341.3899999997</v>
      </c>
      <c r="G11" s="3786">
        <v>0</v>
      </c>
      <c r="H11" s="3787">
        <v>8359341.3899999997</v>
      </c>
      <c r="I11" s="3789" t="s">
        <v>117</v>
      </c>
    </row>
    <row r="12" spans="1:9" ht="34.5" customHeight="1" thickBot="1">
      <c r="A12" s="5232"/>
      <c r="B12" s="5319"/>
      <c r="C12" s="5310"/>
      <c r="D12" s="3784" t="s">
        <v>26</v>
      </c>
      <c r="E12" s="3785">
        <v>180000</v>
      </c>
      <c r="F12" s="3781">
        <f t="shared" si="1"/>
        <v>19000</v>
      </c>
      <c r="G12" s="3786">
        <v>0</v>
      </c>
      <c r="H12" s="3787">
        <v>19000</v>
      </c>
      <c r="I12" s="3789" t="s">
        <v>205</v>
      </c>
    </row>
    <row r="13" spans="1:9" ht="24" customHeight="1" thickBot="1">
      <c r="A13" s="3767" t="s">
        <v>27</v>
      </c>
      <c r="B13" s="3790"/>
      <c r="C13" s="3791" t="s">
        <v>81</v>
      </c>
      <c r="D13" s="3790"/>
      <c r="E13" s="3770">
        <f>SUM(E22,E14,E20,E16,E25,E31,E29,E27,E35)</f>
        <v>8627641</v>
      </c>
      <c r="F13" s="3771">
        <f>SUM(F20,F22,F14,F16,F25,F31,F29,F27,F35)</f>
        <v>6346307.2399999993</v>
      </c>
      <c r="G13" s="3771">
        <f>SUM(G20,G22,G14,G16,G25,G31,G29,G27,G35)</f>
        <v>4510040.1100000003</v>
      </c>
      <c r="H13" s="3771">
        <f>SUM(H20,H22,H14,H16,H25,H31,H29,H27,H35)</f>
        <v>1836267.1300000001</v>
      </c>
      <c r="I13" s="3792"/>
    </row>
    <row r="14" spans="1:9" ht="38.1" customHeight="1" thickBot="1">
      <c r="A14" s="3793"/>
      <c r="B14" s="3774" t="s">
        <v>29</v>
      </c>
      <c r="C14" s="3794" t="s">
        <v>82</v>
      </c>
      <c r="D14" s="3774"/>
      <c r="E14" s="3776">
        <f>SUM(E15:E15)</f>
        <v>85000</v>
      </c>
      <c r="F14" s="3795">
        <f>SUM(G14:H14)</f>
        <v>81575.25</v>
      </c>
      <c r="G14" s="3796">
        <f>SUM(G15:G15)</f>
        <v>81575.25</v>
      </c>
      <c r="H14" s="3795">
        <f>SUM(H15:H15)</f>
        <v>0</v>
      </c>
      <c r="I14" s="3797"/>
    </row>
    <row r="15" spans="1:9" ht="65.25" customHeight="1" thickBot="1">
      <c r="A15" s="59"/>
      <c r="B15" s="29"/>
      <c r="C15" s="474"/>
      <c r="D15" s="473" t="s">
        <v>86</v>
      </c>
      <c r="E15" s="3798">
        <v>85000</v>
      </c>
      <c r="F15" s="118">
        <f>SUM(G15:H15)</f>
        <v>81575.25</v>
      </c>
      <c r="G15" s="3799">
        <v>81575.25</v>
      </c>
      <c r="H15" s="118">
        <v>0</v>
      </c>
      <c r="I15" s="30" t="s">
        <v>359</v>
      </c>
    </row>
    <row r="16" spans="1:9" s="31" customFormat="1" ht="38.1" customHeight="1" thickBot="1">
      <c r="A16" s="59"/>
      <c r="B16" s="3774" t="s">
        <v>118</v>
      </c>
      <c r="C16" s="3800" t="s">
        <v>119</v>
      </c>
      <c r="D16" s="3801"/>
      <c r="E16" s="3802">
        <f>SUM(E17:E19)</f>
        <v>3693541</v>
      </c>
      <c r="F16" s="3803">
        <f t="shared" ref="F16:H16" si="2">SUM(F17:F19)</f>
        <v>3693538.87</v>
      </c>
      <c r="G16" s="3803">
        <f t="shared" si="2"/>
        <v>3693538.87</v>
      </c>
      <c r="H16" s="3804">
        <f t="shared" si="2"/>
        <v>0</v>
      </c>
      <c r="I16" s="3797"/>
    </row>
    <row r="17" spans="1:9" s="31" customFormat="1" ht="31.5" customHeight="1">
      <c r="A17" s="59"/>
      <c r="B17" s="3805"/>
      <c r="C17" s="3806"/>
      <c r="D17" s="3807" t="s">
        <v>19</v>
      </c>
      <c r="E17" s="3808">
        <v>342850</v>
      </c>
      <c r="F17" s="3809">
        <f>SUM(G17:H17)</f>
        <v>342849.07</v>
      </c>
      <c r="G17" s="3810">
        <v>342849.07</v>
      </c>
      <c r="H17" s="3809">
        <v>0</v>
      </c>
      <c r="I17" s="5273" t="s">
        <v>1218</v>
      </c>
    </row>
    <row r="18" spans="1:9" s="28" customFormat="1" ht="30.75" customHeight="1">
      <c r="A18" s="5200"/>
      <c r="B18" s="5305"/>
      <c r="C18" s="5307"/>
      <c r="D18" s="3811" t="s">
        <v>21</v>
      </c>
      <c r="E18" s="3812">
        <v>2331466</v>
      </c>
      <c r="F18" s="3813">
        <f>SUM(G18:H18)</f>
        <v>2331465.7400000002</v>
      </c>
      <c r="G18" s="3814">
        <v>2331465.7400000002</v>
      </c>
      <c r="H18" s="3815">
        <v>0</v>
      </c>
      <c r="I18" s="5274"/>
    </row>
    <row r="19" spans="1:9" s="28" customFormat="1" ht="33" customHeight="1" thickBot="1">
      <c r="A19" s="5200"/>
      <c r="B19" s="5306"/>
      <c r="C19" s="5308"/>
      <c r="D19" s="491" t="s">
        <v>100</v>
      </c>
      <c r="E19" s="32">
        <v>1019225</v>
      </c>
      <c r="F19" s="119">
        <f>SUM(G19:H19)</f>
        <v>1019224.06</v>
      </c>
      <c r="G19" s="91">
        <v>1019224.06</v>
      </c>
      <c r="H19" s="91">
        <v>0</v>
      </c>
      <c r="I19" s="5275"/>
    </row>
    <row r="20" spans="1:9" ht="24" customHeight="1" thickBot="1">
      <c r="A20" s="59"/>
      <c r="B20" s="3774" t="s">
        <v>185</v>
      </c>
      <c r="C20" s="3794" t="s">
        <v>186</v>
      </c>
      <c r="D20" s="3774"/>
      <c r="E20" s="3776">
        <f>SUM(E21:E21)</f>
        <v>40000</v>
      </c>
      <c r="F20" s="3795">
        <f>SUM(G20:H20)</f>
        <v>39880.639999999999</v>
      </c>
      <c r="G20" s="3796">
        <f>SUM(G21:G21)</f>
        <v>39880.639999999999</v>
      </c>
      <c r="H20" s="3795">
        <f>SUM(H21:H21)</f>
        <v>0</v>
      </c>
      <c r="I20" s="3797"/>
    </row>
    <row r="21" spans="1:9" ht="53.25" customHeight="1" thickBot="1">
      <c r="A21" s="63"/>
      <c r="B21" s="493"/>
      <c r="C21" s="494"/>
      <c r="D21" s="484" t="s">
        <v>86</v>
      </c>
      <c r="E21" s="20">
        <v>40000</v>
      </c>
      <c r="F21" s="91">
        <f>SUM(G21:H21)</f>
        <v>39880.639999999999</v>
      </c>
      <c r="G21" s="120">
        <v>39880.639999999999</v>
      </c>
      <c r="H21" s="91">
        <v>0</v>
      </c>
      <c r="I21" s="34" t="s">
        <v>223</v>
      </c>
    </row>
    <row r="22" spans="1:9" s="6" customFormat="1" ht="24" customHeight="1" thickBot="1">
      <c r="A22" s="3793"/>
      <c r="B22" s="3774" t="s">
        <v>120</v>
      </c>
      <c r="C22" s="3794" t="s">
        <v>121</v>
      </c>
      <c r="D22" s="3774"/>
      <c r="E22" s="3776">
        <f>SUM(E23:E24)</f>
        <v>3702814</v>
      </c>
      <c r="F22" s="3777">
        <f>SUM(F23:F24)</f>
        <v>1425027.78</v>
      </c>
      <c r="G22" s="3778">
        <f>SUM(G23:G24)</f>
        <v>200000</v>
      </c>
      <c r="H22" s="3777">
        <f>SUM(H23:H24)</f>
        <v>1225027.78</v>
      </c>
      <c r="I22" s="3797"/>
    </row>
    <row r="23" spans="1:9" s="6" customFormat="1" ht="47.25" customHeight="1">
      <c r="A23" s="59"/>
      <c r="B23" s="5311"/>
      <c r="C23" s="5313"/>
      <c r="D23" s="473" t="s">
        <v>86</v>
      </c>
      <c r="E23" s="3798">
        <v>200000</v>
      </c>
      <c r="F23" s="118">
        <f>SUM(G23:H23)</f>
        <v>200000</v>
      </c>
      <c r="G23" s="3799">
        <v>200000</v>
      </c>
      <c r="H23" s="118">
        <v>0</v>
      </c>
      <c r="I23" s="30" t="s">
        <v>224</v>
      </c>
    </row>
    <row r="24" spans="1:9" s="6" customFormat="1" ht="105.75" customHeight="1" thickBot="1">
      <c r="A24" s="59"/>
      <c r="B24" s="5312"/>
      <c r="C24" s="5314"/>
      <c r="D24" s="10" t="s">
        <v>88</v>
      </c>
      <c r="E24" s="3818">
        <v>3502814</v>
      </c>
      <c r="F24" s="121">
        <f>SUM(G24:H24)</f>
        <v>1225027.78</v>
      </c>
      <c r="G24" s="3819">
        <v>0</v>
      </c>
      <c r="H24" s="121">
        <v>1225027.78</v>
      </c>
      <c r="I24" s="3820" t="s">
        <v>1219</v>
      </c>
    </row>
    <row r="25" spans="1:9" s="6" customFormat="1" ht="38.1" customHeight="1" thickBot="1">
      <c r="A25" s="59"/>
      <c r="B25" s="3774" t="s">
        <v>122</v>
      </c>
      <c r="C25" s="3794" t="s">
        <v>123</v>
      </c>
      <c r="D25" s="3774"/>
      <c r="E25" s="3821">
        <f>SUM(E26)</f>
        <v>231500</v>
      </c>
      <c r="F25" s="3822">
        <f t="shared" ref="F25:H27" si="3">SUM(F26)</f>
        <v>231500</v>
      </c>
      <c r="G25" s="3823">
        <f t="shared" si="3"/>
        <v>0</v>
      </c>
      <c r="H25" s="3822">
        <f t="shared" si="3"/>
        <v>231500</v>
      </c>
      <c r="I25" s="33"/>
    </row>
    <row r="26" spans="1:9" s="6" customFormat="1" ht="37.5" customHeight="1" thickBot="1">
      <c r="A26" s="59"/>
      <c r="B26" s="3824"/>
      <c r="C26" s="3825"/>
      <c r="D26" s="484" t="s">
        <v>88</v>
      </c>
      <c r="E26" s="20">
        <v>231500</v>
      </c>
      <c r="F26" s="91">
        <f>SUM(G26:H26)</f>
        <v>231500</v>
      </c>
      <c r="G26" s="120">
        <v>0</v>
      </c>
      <c r="H26" s="91">
        <v>231500</v>
      </c>
      <c r="I26" s="34" t="s">
        <v>124</v>
      </c>
    </row>
    <row r="27" spans="1:9" s="6" customFormat="1" ht="24" customHeight="1" thickBot="1">
      <c r="A27" s="59"/>
      <c r="B27" s="3774" t="s">
        <v>125</v>
      </c>
      <c r="C27" s="3794" t="s">
        <v>126</v>
      </c>
      <c r="D27" s="3774"/>
      <c r="E27" s="3821">
        <f>SUM(E28)</f>
        <v>129740</v>
      </c>
      <c r="F27" s="3822">
        <f t="shared" si="3"/>
        <v>129739.35</v>
      </c>
      <c r="G27" s="3823">
        <f t="shared" si="3"/>
        <v>0</v>
      </c>
      <c r="H27" s="3822">
        <f t="shared" si="3"/>
        <v>129739.35</v>
      </c>
      <c r="I27" s="60"/>
    </row>
    <row r="28" spans="1:9" s="6" customFormat="1" ht="106.5" customHeight="1" thickBot="1">
      <c r="A28" s="59"/>
      <c r="B28" s="3824"/>
      <c r="C28" s="3825"/>
      <c r="D28" s="484" t="s">
        <v>88</v>
      </c>
      <c r="E28" s="20">
        <v>129740</v>
      </c>
      <c r="F28" s="91">
        <f>SUM(G28:H28)</f>
        <v>129739.35</v>
      </c>
      <c r="G28" s="120">
        <v>0</v>
      </c>
      <c r="H28" s="91">
        <v>129739.35</v>
      </c>
      <c r="I28" s="34" t="s">
        <v>187</v>
      </c>
    </row>
    <row r="29" spans="1:9" s="6" customFormat="1" ht="24" customHeight="1" thickBot="1">
      <c r="A29" s="59"/>
      <c r="B29" s="3774" t="s">
        <v>127</v>
      </c>
      <c r="C29" s="3826" t="s">
        <v>128</v>
      </c>
      <c r="D29" s="35"/>
      <c r="E29" s="36">
        <f>E30</f>
        <v>250000</v>
      </c>
      <c r="F29" s="122">
        <f t="shared" ref="F29:H29" si="4">F30</f>
        <v>250000</v>
      </c>
      <c r="G29" s="123">
        <f t="shared" si="4"/>
        <v>0</v>
      </c>
      <c r="H29" s="122">
        <f t="shared" si="4"/>
        <v>250000</v>
      </c>
      <c r="I29" s="62"/>
    </row>
    <row r="30" spans="1:9" s="6" customFormat="1" ht="50.25" customHeight="1" thickBot="1">
      <c r="A30" s="59"/>
      <c r="B30" s="3824"/>
      <c r="C30" s="3825"/>
      <c r="D30" s="484" t="s">
        <v>88</v>
      </c>
      <c r="E30" s="20">
        <v>250000</v>
      </c>
      <c r="F30" s="91">
        <f>SUM(G30:H30)</f>
        <v>250000</v>
      </c>
      <c r="G30" s="120">
        <v>0</v>
      </c>
      <c r="H30" s="91">
        <v>250000</v>
      </c>
      <c r="I30" s="3827" t="s">
        <v>188</v>
      </c>
    </row>
    <row r="31" spans="1:9" ht="37.5" hidden="1" customHeight="1" thickBot="1">
      <c r="A31" s="59"/>
      <c r="B31" s="3828" t="s">
        <v>90</v>
      </c>
      <c r="C31" s="3829" t="s">
        <v>91</v>
      </c>
      <c r="D31" s="3828"/>
      <c r="E31" s="3830">
        <f>SUM(E32:E34)</f>
        <v>0</v>
      </c>
      <c r="F31" s="3831">
        <f>SUM(F32:F34)</f>
        <v>0</v>
      </c>
      <c r="G31" s="3832">
        <f>SUM(G32:G34)</f>
        <v>0</v>
      </c>
      <c r="H31" s="3831">
        <f>SUM(H32:H34)</f>
        <v>0</v>
      </c>
      <c r="I31" s="3833"/>
    </row>
    <row r="32" spans="1:9" ht="30" hidden="1" customHeight="1">
      <c r="A32" s="59"/>
      <c r="B32" s="5315"/>
      <c r="C32" s="5317"/>
      <c r="D32" s="5276" t="s">
        <v>86</v>
      </c>
      <c r="E32" s="5277"/>
      <c r="F32" s="5281">
        <f>SUM(G32:H33)</f>
        <v>0</v>
      </c>
      <c r="G32" s="5283"/>
      <c r="H32" s="5285">
        <v>0</v>
      </c>
      <c r="I32" s="5287"/>
    </row>
    <row r="33" spans="1:9" ht="31.5" hidden="1" customHeight="1" thickBot="1">
      <c r="A33" s="63"/>
      <c r="B33" s="5316"/>
      <c r="C33" s="5227"/>
      <c r="D33" s="5261"/>
      <c r="E33" s="5278"/>
      <c r="F33" s="5282"/>
      <c r="G33" s="5284"/>
      <c r="H33" s="5286"/>
      <c r="I33" s="5288"/>
    </row>
    <row r="34" spans="1:9" ht="107.25" hidden="1" customHeight="1" thickBot="1">
      <c r="A34" s="5253"/>
      <c r="B34" s="3834"/>
      <c r="C34" s="3835"/>
      <c r="D34" s="3836" t="s">
        <v>88</v>
      </c>
      <c r="E34" s="3837"/>
      <c r="F34" s="3838">
        <f>SUM(G34:H34)</f>
        <v>0</v>
      </c>
      <c r="G34" s="3839">
        <v>0</v>
      </c>
      <c r="H34" s="3840"/>
      <c r="I34" s="3841"/>
    </row>
    <row r="35" spans="1:9" ht="24" customHeight="1" thickBot="1">
      <c r="A35" s="5200"/>
      <c r="B35" s="3774" t="s">
        <v>129</v>
      </c>
      <c r="C35" s="3826" t="s">
        <v>95</v>
      </c>
      <c r="D35" s="35"/>
      <c r="E35" s="36">
        <f>E36</f>
        <v>495046</v>
      </c>
      <c r="F35" s="122">
        <f t="shared" ref="F35:H35" si="5">F36</f>
        <v>495045.35</v>
      </c>
      <c r="G35" s="123">
        <f t="shared" si="5"/>
        <v>495045.35</v>
      </c>
      <c r="H35" s="122">
        <f t="shared" si="5"/>
        <v>0</v>
      </c>
      <c r="I35" s="62"/>
    </row>
    <row r="36" spans="1:9" ht="147" customHeight="1" thickBot="1">
      <c r="A36" s="5201"/>
      <c r="B36" s="3824"/>
      <c r="C36" s="3825"/>
      <c r="D36" s="484" t="s">
        <v>86</v>
      </c>
      <c r="E36" s="20">
        <v>495046</v>
      </c>
      <c r="F36" s="91">
        <f>SUM(G36:H36)</f>
        <v>495045.35</v>
      </c>
      <c r="G36" s="91">
        <v>495045.35</v>
      </c>
      <c r="H36" s="91">
        <v>0</v>
      </c>
      <c r="I36" s="3827" t="s">
        <v>1243</v>
      </c>
    </row>
    <row r="37" spans="1:9" ht="24" customHeight="1" thickBot="1">
      <c r="A37" s="3767" t="s">
        <v>130</v>
      </c>
      <c r="B37" s="3790"/>
      <c r="C37" s="3791" t="s">
        <v>131</v>
      </c>
      <c r="D37" s="3790"/>
      <c r="E37" s="3770">
        <f>SUM(E40,E38)</f>
        <v>20000</v>
      </c>
      <c r="F37" s="3771">
        <f t="shared" ref="F37:H37" si="6">SUM(F40,F38)</f>
        <v>20000</v>
      </c>
      <c r="G37" s="3772">
        <f t="shared" si="6"/>
        <v>8000</v>
      </c>
      <c r="H37" s="3771">
        <f t="shared" si="6"/>
        <v>12000</v>
      </c>
      <c r="I37" s="3792"/>
    </row>
    <row r="38" spans="1:9" ht="24" hidden="1" customHeight="1" thickBot="1">
      <c r="A38" s="3842"/>
      <c r="B38" s="3774" t="s">
        <v>132</v>
      </c>
      <c r="C38" s="3826" t="s">
        <v>95</v>
      </c>
      <c r="D38" s="35"/>
      <c r="E38" s="36">
        <f>E39</f>
        <v>0</v>
      </c>
      <c r="F38" s="122">
        <f>SUM(F39)</f>
        <v>0</v>
      </c>
      <c r="G38" s="123">
        <f>G39</f>
        <v>0</v>
      </c>
      <c r="H38" s="122">
        <f>H39</f>
        <v>0</v>
      </c>
      <c r="I38" s="191"/>
    </row>
    <row r="39" spans="1:9" ht="24" hidden="1" customHeight="1" thickBot="1">
      <c r="A39" s="3842"/>
      <c r="B39" s="3824"/>
      <c r="C39" s="3825"/>
      <c r="D39" s="484" t="s">
        <v>88</v>
      </c>
      <c r="E39" s="20"/>
      <c r="F39" s="91">
        <f>SUM(G39:H39)</f>
        <v>0</v>
      </c>
      <c r="G39" s="120">
        <v>0</v>
      </c>
      <c r="H39" s="91"/>
      <c r="I39" s="3827"/>
    </row>
    <row r="40" spans="1:9" ht="24" customHeight="1" thickBot="1">
      <c r="A40" s="5231"/>
      <c r="B40" s="3774" t="s">
        <v>133</v>
      </c>
      <c r="C40" s="3794" t="s">
        <v>95</v>
      </c>
      <c r="D40" s="3774"/>
      <c r="E40" s="3776">
        <f>SUM(E41:E42)</f>
        <v>20000</v>
      </c>
      <c r="F40" s="3777">
        <f>SUM(F41:F42)</f>
        <v>20000</v>
      </c>
      <c r="G40" s="3778">
        <f>SUM(G41:G42)</f>
        <v>8000</v>
      </c>
      <c r="H40" s="3777">
        <f>SUM(H41:H42)</f>
        <v>12000</v>
      </c>
      <c r="I40" s="3797"/>
    </row>
    <row r="41" spans="1:9" ht="47.25" customHeight="1">
      <c r="A41" s="5231"/>
      <c r="B41" s="5303"/>
      <c r="C41" s="5210"/>
      <c r="D41" s="3843" t="s">
        <v>83</v>
      </c>
      <c r="E41" s="3844">
        <v>8000</v>
      </c>
      <c r="F41" s="3845">
        <f>SUM(G41:H41)</f>
        <v>8000</v>
      </c>
      <c r="G41" s="3846">
        <v>8000</v>
      </c>
      <c r="H41" s="3847">
        <v>0</v>
      </c>
      <c r="I41" s="3783" t="s">
        <v>206</v>
      </c>
    </row>
    <row r="42" spans="1:9" ht="57" customHeight="1" thickBot="1">
      <c r="A42" s="5232"/>
      <c r="B42" s="5304"/>
      <c r="C42" s="5211"/>
      <c r="D42" s="484" t="s">
        <v>88</v>
      </c>
      <c r="E42" s="190">
        <v>12000</v>
      </c>
      <c r="F42" s="91">
        <f>SUM(G42:H42)</f>
        <v>12000</v>
      </c>
      <c r="G42" s="497">
        <v>0</v>
      </c>
      <c r="H42" s="498">
        <v>12000</v>
      </c>
      <c r="I42" s="34" t="s">
        <v>228</v>
      </c>
    </row>
    <row r="43" spans="1:9" ht="24" customHeight="1" thickBot="1">
      <c r="A43" s="3767" t="s">
        <v>134</v>
      </c>
      <c r="B43" s="3790"/>
      <c r="C43" s="3791" t="s">
        <v>135</v>
      </c>
      <c r="D43" s="3848"/>
      <c r="E43" s="3770">
        <f>SUM(E48,E44)</f>
        <v>330895</v>
      </c>
      <c r="F43" s="3771">
        <f>SUM(F48,F44)</f>
        <v>328132</v>
      </c>
      <c r="G43" s="3772">
        <f>SUM(G48,G44)</f>
        <v>184817</v>
      </c>
      <c r="H43" s="3771">
        <f>SUM(H48,H44)</f>
        <v>143315</v>
      </c>
      <c r="I43" s="3849"/>
    </row>
    <row r="44" spans="1:9" ht="38.1" customHeight="1" thickBot="1">
      <c r="A44" s="3850"/>
      <c r="B44" s="3851" t="s">
        <v>136</v>
      </c>
      <c r="C44" s="3852" t="s">
        <v>137</v>
      </c>
      <c r="D44" s="3853"/>
      <c r="E44" s="3854">
        <f>SUM(E45:E47)</f>
        <v>267895</v>
      </c>
      <c r="F44" s="3855">
        <f>SUM(F45:F47)</f>
        <v>266295</v>
      </c>
      <c r="G44" s="3856">
        <f>SUM(G45:G47)</f>
        <v>158296</v>
      </c>
      <c r="H44" s="3857">
        <f>SUM(H45:H47)</f>
        <v>107999</v>
      </c>
      <c r="I44" s="3858"/>
    </row>
    <row r="45" spans="1:9" ht="409.6" customHeight="1">
      <c r="A45" s="64"/>
      <c r="B45" s="3859"/>
      <c r="C45" s="3860"/>
      <c r="D45" s="5212" t="s">
        <v>86</v>
      </c>
      <c r="E45" s="5289">
        <v>159895</v>
      </c>
      <c r="F45" s="5291">
        <f>SUM(G45:H46)</f>
        <v>158296</v>
      </c>
      <c r="G45" s="5293">
        <v>158296</v>
      </c>
      <c r="H45" s="5295">
        <v>0</v>
      </c>
      <c r="I45" s="5279" t="s">
        <v>1249</v>
      </c>
    </row>
    <row r="46" spans="1:9" ht="80.25" customHeight="1" thickBot="1">
      <c r="A46" s="65"/>
      <c r="B46" s="66"/>
      <c r="C46" s="67"/>
      <c r="D46" s="5206"/>
      <c r="E46" s="5290"/>
      <c r="F46" s="5292"/>
      <c r="G46" s="5294"/>
      <c r="H46" s="5296"/>
      <c r="I46" s="5280"/>
    </row>
    <row r="47" spans="1:9" ht="366" customHeight="1" thickBot="1">
      <c r="A47" s="3850"/>
      <c r="B47" s="3861"/>
      <c r="C47" s="3862"/>
      <c r="D47" s="3863" t="s">
        <v>88</v>
      </c>
      <c r="E47" s="3864">
        <v>108000</v>
      </c>
      <c r="F47" s="3865">
        <f>SUM(G47:H47)</f>
        <v>107999</v>
      </c>
      <c r="G47" s="3866">
        <v>0</v>
      </c>
      <c r="H47" s="3867">
        <v>107999</v>
      </c>
      <c r="I47" s="3868" t="s">
        <v>229</v>
      </c>
    </row>
    <row r="48" spans="1:9" ht="24" customHeight="1" thickBot="1">
      <c r="A48" s="64"/>
      <c r="B48" s="3774" t="s">
        <v>138</v>
      </c>
      <c r="C48" s="3794" t="s">
        <v>95</v>
      </c>
      <c r="D48" s="3774"/>
      <c r="E48" s="3776">
        <f>SUM(E49:E50)</f>
        <v>63000</v>
      </c>
      <c r="F48" s="3777">
        <f>SUM(F49:F50)</f>
        <v>61837</v>
      </c>
      <c r="G48" s="3778">
        <f>SUM(G49:G50)</f>
        <v>26521</v>
      </c>
      <c r="H48" s="3777">
        <f>SUM(H49:H50)</f>
        <v>35316</v>
      </c>
      <c r="I48" s="3869"/>
    </row>
    <row r="49" spans="1:9" s="125" customFormat="1" ht="105" customHeight="1">
      <c r="A49" s="124"/>
      <c r="B49" s="5345"/>
      <c r="C49" s="5343"/>
      <c r="D49" s="3870" t="s">
        <v>86</v>
      </c>
      <c r="E49" s="3871">
        <v>27000</v>
      </c>
      <c r="F49" s="3845">
        <f>SUM(G49:H49)</f>
        <v>26521</v>
      </c>
      <c r="G49" s="3872">
        <v>26521</v>
      </c>
      <c r="H49" s="3873">
        <v>0</v>
      </c>
      <c r="I49" s="3874" t="s">
        <v>230</v>
      </c>
    </row>
    <row r="50" spans="1:9" ht="113.25" customHeight="1" thickBot="1">
      <c r="A50" s="65"/>
      <c r="B50" s="5346"/>
      <c r="C50" s="5344"/>
      <c r="D50" s="484" t="s">
        <v>88</v>
      </c>
      <c r="E50" s="190">
        <v>36000</v>
      </c>
      <c r="F50" s="91">
        <f>SUM(G50:H50)</f>
        <v>35316</v>
      </c>
      <c r="G50" s="497">
        <v>0</v>
      </c>
      <c r="H50" s="498">
        <v>35316</v>
      </c>
      <c r="I50" s="495" t="s">
        <v>231</v>
      </c>
    </row>
    <row r="51" spans="1:9" s="11" customFormat="1" ht="24" customHeight="1" thickBot="1">
      <c r="A51" s="3767" t="s">
        <v>189</v>
      </c>
      <c r="B51" s="3875"/>
      <c r="C51" s="3791" t="s">
        <v>191</v>
      </c>
      <c r="D51" s="3875"/>
      <c r="E51" s="3770">
        <f>E52</f>
        <v>24000</v>
      </c>
      <c r="F51" s="3771">
        <f t="shared" ref="F51:H52" si="7">F52</f>
        <v>24000</v>
      </c>
      <c r="G51" s="3772">
        <f t="shared" si="7"/>
        <v>24000</v>
      </c>
      <c r="H51" s="3771">
        <f t="shared" si="7"/>
        <v>0</v>
      </c>
      <c r="I51" s="3876"/>
    </row>
    <row r="52" spans="1:9" s="11" customFormat="1" ht="24" customHeight="1" thickBot="1">
      <c r="A52" s="5347"/>
      <c r="B52" s="35" t="s">
        <v>190</v>
      </c>
      <c r="C52" s="196" t="s">
        <v>192</v>
      </c>
      <c r="D52" s="35"/>
      <c r="E52" s="197">
        <f>E53</f>
        <v>24000</v>
      </c>
      <c r="F52" s="198">
        <f t="shared" si="7"/>
        <v>24000</v>
      </c>
      <c r="G52" s="199">
        <f t="shared" si="7"/>
        <v>24000</v>
      </c>
      <c r="H52" s="198">
        <f t="shared" si="7"/>
        <v>0</v>
      </c>
      <c r="I52" s="462"/>
    </row>
    <row r="53" spans="1:9" ht="92.25" customHeight="1" thickBot="1">
      <c r="A53" s="5306"/>
      <c r="B53" s="491"/>
      <c r="C53" s="200"/>
      <c r="D53" s="491" t="s">
        <v>86</v>
      </c>
      <c r="E53" s="201">
        <v>24000</v>
      </c>
      <c r="F53" s="202">
        <f>SUM(G53:H53)</f>
        <v>24000</v>
      </c>
      <c r="G53" s="203">
        <v>24000</v>
      </c>
      <c r="H53" s="204">
        <v>0</v>
      </c>
      <c r="I53" s="463" t="s">
        <v>232</v>
      </c>
    </row>
    <row r="54" spans="1:9" s="11" customFormat="1" ht="27.75" hidden="1" customHeight="1" thickBot="1">
      <c r="A54" s="3877" t="s">
        <v>139</v>
      </c>
      <c r="B54" s="3878"/>
      <c r="C54" s="3879" t="s">
        <v>140</v>
      </c>
      <c r="D54" s="3878"/>
      <c r="E54" s="3880">
        <f>E55</f>
        <v>0</v>
      </c>
      <c r="F54" s="3881">
        <f t="shared" ref="F54:H55" si="8">F55</f>
        <v>0</v>
      </c>
      <c r="G54" s="3882">
        <f t="shared" si="8"/>
        <v>0</v>
      </c>
      <c r="H54" s="3881">
        <f t="shared" si="8"/>
        <v>0</v>
      </c>
      <c r="I54" s="464" t="s">
        <v>225</v>
      </c>
    </row>
    <row r="55" spans="1:9" s="11" customFormat="1" ht="27.75" hidden="1" customHeight="1" thickBot="1">
      <c r="A55" s="5352"/>
      <c r="B55" s="61" t="s">
        <v>141</v>
      </c>
      <c r="C55" s="70" t="s">
        <v>95</v>
      </c>
      <c r="D55" s="61"/>
      <c r="E55" s="71">
        <f>E56</f>
        <v>0</v>
      </c>
      <c r="F55" s="108">
        <f t="shared" si="8"/>
        <v>0</v>
      </c>
      <c r="G55" s="109">
        <f t="shared" si="8"/>
        <v>0</v>
      </c>
      <c r="H55" s="108">
        <f t="shared" si="8"/>
        <v>0</v>
      </c>
      <c r="I55" s="464" t="s">
        <v>226</v>
      </c>
    </row>
    <row r="56" spans="1:9" ht="64.5" hidden="1" customHeight="1" thickBot="1">
      <c r="A56" s="5353"/>
      <c r="B56" s="492"/>
      <c r="C56" s="72"/>
      <c r="D56" s="492" t="s">
        <v>88</v>
      </c>
      <c r="E56" s="73"/>
      <c r="F56" s="110">
        <f>SUM(G56:H56)</f>
        <v>0</v>
      </c>
      <c r="G56" s="111">
        <v>0</v>
      </c>
      <c r="H56" s="112"/>
      <c r="I56" s="464" t="s">
        <v>207</v>
      </c>
    </row>
    <row r="57" spans="1:9" s="37" customFormat="1" ht="24" customHeight="1" thickBot="1">
      <c r="A57" s="3767" t="s">
        <v>92</v>
      </c>
      <c r="B57" s="3790"/>
      <c r="C57" s="3791" t="s">
        <v>93</v>
      </c>
      <c r="D57" s="3790"/>
      <c r="E57" s="3770">
        <f>E58+E62</f>
        <v>301200</v>
      </c>
      <c r="F57" s="3771">
        <f t="shared" ref="F57:H57" si="9">F58+F62</f>
        <v>301200</v>
      </c>
      <c r="G57" s="3772">
        <f t="shared" si="9"/>
        <v>301200</v>
      </c>
      <c r="H57" s="3771">
        <f t="shared" si="9"/>
        <v>0</v>
      </c>
      <c r="I57" s="3883"/>
    </row>
    <row r="58" spans="1:9" ht="24" customHeight="1" thickBot="1">
      <c r="A58" s="3884"/>
      <c r="B58" s="3774" t="s">
        <v>193</v>
      </c>
      <c r="C58" s="3885" t="s">
        <v>194</v>
      </c>
      <c r="D58" s="3774"/>
      <c r="E58" s="3886">
        <f>E59</f>
        <v>15000</v>
      </c>
      <c r="F58" s="3887">
        <f t="shared" ref="F58:H60" si="10">F59</f>
        <v>15000</v>
      </c>
      <c r="G58" s="3888">
        <f>G59</f>
        <v>15000</v>
      </c>
      <c r="H58" s="3887">
        <f t="shared" si="10"/>
        <v>0</v>
      </c>
      <c r="I58" s="3889"/>
    </row>
    <row r="59" spans="1:9" ht="57.75" thickBot="1">
      <c r="A59" s="3764"/>
      <c r="B59" s="491"/>
      <c r="C59" s="200"/>
      <c r="D59" s="491" t="s">
        <v>86</v>
      </c>
      <c r="E59" s="201">
        <v>15000</v>
      </c>
      <c r="F59" s="206">
        <f>SUM(G59:H59)</f>
        <v>15000</v>
      </c>
      <c r="G59" s="207">
        <v>15000</v>
      </c>
      <c r="H59" s="206">
        <v>0</v>
      </c>
      <c r="I59" s="465" t="s">
        <v>233</v>
      </c>
    </row>
    <row r="60" spans="1:9" ht="30" hidden="1" customHeight="1" thickBot="1">
      <c r="A60" s="59"/>
      <c r="B60" s="3828" t="s">
        <v>142</v>
      </c>
      <c r="C60" s="3890" t="s">
        <v>143</v>
      </c>
      <c r="D60" s="3828"/>
      <c r="E60" s="3891">
        <f>E61</f>
        <v>0</v>
      </c>
      <c r="F60" s="3892">
        <f t="shared" si="10"/>
        <v>0</v>
      </c>
      <c r="G60" s="3893">
        <f>G61</f>
        <v>0</v>
      </c>
      <c r="H60" s="3892">
        <f t="shared" si="10"/>
        <v>0</v>
      </c>
      <c r="I60" s="3889"/>
    </row>
    <row r="61" spans="1:9" ht="15.75" hidden="1" customHeight="1" thickBot="1">
      <c r="A61" s="59"/>
      <c r="B61" s="492"/>
      <c r="C61" s="72"/>
      <c r="D61" s="492" t="s">
        <v>86</v>
      </c>
      <c r="E61" s="73"/>
      <c r="F61" s="113">
        <f>SUM(G61:H61)</f>
        <v>0</v>
      </c>
      <c r="G61" s="114"/>
      <c r="H61" s="113">
        <v>0</v>
      </c>
      <c r="I61" s="466"/>
    </row>
    <row r="62" spans="1:9" s="152" customFormat="1" ht="38.1" customHeight="1" thickBot="1">
      <c r="A62" s="249"/>
      <c r="B62" s="131" t="s">
        <v>144</v>
      </c>
      <c r="C62" s="250" t="s">
        <v>362</v>
      </c>
      <c r="D62" s="131"/>
      <c r="E62" s="141">
        <f>SUM(E63:E63)</f>
        <v>286200</v>
      </c>
      <c r="F62" s="251">
        <f>SUM(F63:F63)</f>
        <v>286200</v>
      </c>
      <c r="G62" s="252">
        <f>SUM(G63:G63)</f>
        <v>286200</v>
      </c>
      <c r="H62" s="251">
        <f>SUM(H63:H63)</f>
        <v>0</v>
      </c>
      <c r="I62" s="467"/>
    </row>
    <row r="63" spans="1:9" s="28" customFormat="1" ht="78" customHeight="1" thickBot="1">
      <c r="A63" s="249"/>
      <c r="B63" s="485"/>
      <c r="C63" s="255"/>
      <c r="D63" s="485" t="s">
        <v>83</v>
      </c>
      <c r="E63" s="3894">
        <v>286200</v>
      </c>
      <c r="F63" s="253">
        <f>SUM(G63:H63)</f>
        <v>286200</v>
      </c>
      <c r="G63" s="3895">
        <v>286200</v>
      </c>
      <c r="H63" s="486">
        <v>0</v>
      </c>
      <c r="I63" s="3896" t="s">
        <v>1240</v>
      </c>
    </row>
    <row r="64" spans="1:9" s="37" customFormat="1" ht="38.1" customHeight="1" thickBot="1">
      <c r="A64" s="3767" t="s">
        <v>96</v>
      </c>
      <c r="B64" s="3768"/>
      <c r="C64" s="3769" t="s">
        <v>97</v>
      </c>
      <c r="D64" s="3768"/>
      <c r="E64" s="3770">
        <f>SUM(E65,E68)</f>
        <v>94000</v>
      </c>
      <c r="F64" s="3771">
        <f t="shared" ref="F64:H64" si="11">SUM(F65,F68)</f>
        <v>94000</v>
      </c>
      <c r="G64" s="3772">
        <f>SUM(G65,G68)</f>
        <v>34000</v>
      </c>
      <c r="H64" s="3771">
        <f t="shared" si="11"/>
        <v>60000</v>
      </c>
      <c r="I64" s="3897"/>
    </row>
    <row r="65" spans="1:10" ht="24" customHeight="1" thickBot="1">
      <c r="A65" s="3884"/>
      <c r="B65" s="3774" t="s">
        <v>145</v>
      </c>
      <c r="C65" s="3898" t="s">
        <v>146</v>
      </c>
      <c r="D65" s="3899"/>
      <c r="E65" s="3776">
        <f>SUM(E66:E67)</f>
        <v>94000</v>
      </c>
      <c r="F65" s="3900">
        <f>SUM(G65:H65)</f>
        <v>94000</v>
      </c>
      <c r="G65" s="3823">
        <f>SUM(G66:G67)</f>
        <v>34000</v>
      </c>
      <c r="H65" s="3822">
        <f>SUM(H66:H67)</f>
        <v>60000</v>
      </c>
      <c r="I65" s="3901"/>
    </row>
    <row r="66" spans="1:10" ht="130.5" customHeight="1" thickBot="1">
      <c r="A66" s="205"/>
      <c r="B66" s="3902"/>
      <c r="C66" s="3903"/>
      <c r="D66" s="484" t="s">
        <v>86</v>
      </c>
      <c r="E66" s="190">
        <v>34000</v>
      </c>
      <c r="F66" s="483">
        <f>SUM(G66:H66)</f>
        <v>34000</v>
      </c>
      <c r="G66" s="89">
        <v>34000</v>
      </c>
      <c r="H66" s="483">
        <v>0</v>
      </c>
      <c r="I66" s="3904" t="s">
        <v>234</v>
      </c>
    </row>
    <row r="67" spans="1:10" ht="197.25" customHeight="1" thickBot="1">
      <c r="A67" s="3905"/>
      <c r="B67" s="3902"/>
      <c r="C67" s="3903"/>
      <c r="D67" s="3863" t="s">
        <v>88</v>
      </c>
      <c r="E67" s="3906">
        <v>60000</v>
      </c>
      <c r="F67" s="3907">
        <f>SUM(G67:H67)</f>
        <v>60000</v>
      </c>
      <c r="G67" s="3908">
        <v>0</v>
      </c>
      <c r="H67" s="3907">
        <v>60000</v>
      </c>
      <c r="I67" s="3909" t="s">
        <v>235</v>
      </c>
    </row>
    <row r="68" spans="1:10" ht="32.25" hidden="1" customHeight="1" thickBot="1">
      <c r="A68" s="59"/>
      <c r="B68" s="74" t="s">
        <v>147</v>
      </c>
      <c r="C68" s="75" t="s">
        <v>95</v>
      </c>
      <c r="D68" s="74"/>
      <c r="E68" s="71">
        <f>E69</f>
        <v>0</v>
      </c>
      <c r="F68" s="108">
        <f t="shared" ref="F68:H68" si="12">F69</f>
        <v>0</v>
      </c>
      <c r="G68" s="109">
        <f>G69</f>
        <v>0</v>
      </c>
      <c r="H68" s="108">
        <f t="shared" si="12"/>
        <v>0</v>
      </c>
      <c r="I68" s="62"/>
    </row>
    <row r="69" spans="1:10" ht="79.5" hidden="1" customHeight="1" thickBot="1">
      <c r="A69" s="63"/>
      <c r="B69" s="492"/>
      <c r="C69" s="72"/>
      <c r="D69" s="492" t="s">
        <v>86</v>
      </c>
      <c r="E69" s="73"/>
      <c r="F69" s="113">
        <f>SUM(G69:H69)</f>
        <v>0</v>
      </c>
      <c r="G69" s="114"/>
      <c r="H69" s="113">
        <v>0</v>
      </c>
      <c r="I69" s="496" t="s">
        <v>148</v>
      </c>
    </row>
    <row r="70" spans="1:10" ht="24" customHeight="1" thickBot="1">
      <c r="A70" s="3910" t="s">
        <v>149</v>
      </c>
      <c r="B70" s="3911"/>
      <c r="C70" s="3912" t="s">
        <v>150</v>
      </c>
      <c r="D70" s="3911"/>
      <c r="E70" s="3913">
        <f>E71+E74+E76</f>
        <v>421743</v>
      </c>
      <c r="F70" s="3914">
        <f t="shared" ref="F70" si="13">F71+F74+F76</f>
        <v>409743</v>
      </c>
      <c r="G70" s="3915">
        <f>G71+G74+G76</f>
        <v>352000</v>
      </c>
      <c r="H70" s="3914">
        <f>H71+H74+H76</f>
        <v>57743</v>
      </c>
      <c r="I70" s="3916"/>
    </row>
    <row r="71" spans="1:10" s="38" customFormat="1" ht="24" customHeight="1" thickBot="1">
      <c r="A71" s="5230"/>
      <c r="B71" s="3917">
        <v>80101</v>
      </c>
      <c r="C71" s="3918" t="s">
        <v>151</v>
      </c>
      <c r="D71" s="3917"/>
      <c r="E71" s="3919">
        <f>SUM(E72:E73)</f>
        <v>36000</v>
      </c>
      <c r="F71" s="3822">
        <f>SUM(F72:F73)</f>
        <v>36000</v>
      </c>
      <c r="G71" s="3823">
        <f>SUM(G72:G73)</f>
        <v>12000</v>
      </c>
      <c r="H71" s="3822">
        <f>SUM(H72:H73)</f>
        <v>24000</v>
      </c>
      <c r="I71" s="3920"/>
    </row>
    <row r="72" spans="1:10" s="126" customFormat="1" ht="58.5" customHeight="1">
      <c r="A72" s="5231"/>
      <c r="B72" s="5348"/>
      <c r="C72" s="5350"/>
      <c r="D72" s="3921">
        <v>2710</v>
      </c>
      <c r="E72" s="3922">
        <v>12000</v>
      </c>
      <c r="F72" s="3923">
        <f>SUM(G72:H72)</f>
        <v>12000</v>
      </c>
      <c r="G72" s="3924">
        <v>12000</v>
      </c>
      <c r="H72" s="3925">
        <v>0</v>
      </c>
      <c r="I72" s="3926" t="s">
        <v>1238</v>
      </c>
    </row>
    <row r="73" spans="1:10" s="39" customFormat="1" ht="129" thickBot="1">
      <c r="A73" s="5231"/>
      <c r="B73" s="5349"/>
      <c r="C73" s="5351"/>
      <c r="D73" s="220">
        <v>6300</v>
      </c>
      <c r="E73" s="3927">
        <v>24000</v>
      </c>
      <c r="F73" s="206">
        <f>SUM(G73:H73)</f>
        <v>24000</v>
      </c>
      <c r="G73" s="207">
        <v>0</v>
      </c>
      <c r="H73" s="206">
        <v>24000</v>
      </c>
      <c r="I73" s="221" t="s">
        <v>236</v>
      </c>
    </row>
    <row r="74" spans="1:10" s="39" customFormat="1" ht="24" customHeight="1" thickBot="1">
      <c r="A74" s="5231"/>
      <c r="B74" s="3917">
        <v>80130</v>
      </c>
      <c r="C74" s="3918" t="s">
        <v>361</v>
      </c>
      <c r="D74" s="3917"/>
      <c r="E74" s="3919">
        <f>E75</f>
        <v>340000</v>
      </c>
      <c r="F74" s="3822">
        <f t="shared" ref="F74:H74" si="14">F75</f>
        <v>340000</v>
      </c>
      <c r="G74" s="3823">
        <f t="shared" si="14"/>
        <v>340000</v>
      </c>
      <c r="H74" s="3822">
        <f t="shared" si="14"/>
        <v>0</v>
      </c>
      <c r="I74" s="3920"/>
    </row>
    <row r="75" spans="1:10" s="39" customFormat="1" ht="58.5" customHeight="1" thickBot="1">
      <c r="A75" s="5231"/>
      <c r="B75" s="3928"/>
      <c r="C75" s="3929"/>
      <c r="D75" s="3928">
        <v>2710</v>
      </c>
      <c r="E75" s="3930">
        <v>340000</v>
      </c>
      <c r="F75" s="3931">
        <f>SUM(G75:H75)</f>
        <v>340000</v>
      </c>
      <c r="G75" s="3932">
        <v>340000</v>
      </c>
      <c r="H75" s="3931">
        <v>0</v>
      </c>
      <c r="I75" s="3933" t="s">
        <v>1239</v>
      </c>
    </row>
    <row r="76" spans="1:10" ht="24" customHeight="1" thickBot="1">
      <c r="A76" s="5231"/>
      <c r="B76" s="3774" t="s">
        <v>152</v>
      </c>
      <c r="C76" s="3898" t="s">
        <v>95</v>
      </c>
      <c r="D76" s="3899"/>
      <c r="E76" s="3776">
        <f>SUM(E77:E78)</f>
        <v>45743</v>
      </c>
      <c r="F76" s="3777">
        <f>SUM(F77:F78)</f>
        <v>33743</v>
      </c>
      <c r="G76" s="3778">
        <f>SUM(G77:G78)</f>
        <v>0</v>
      </c>
      <c r="H76" s="3777">
        <f>SUM(H77:H78)</f>
        <v>33743</v>
      </c>
      <c r="I76" s="3920"/>
    </row>
    <row r="77" spans="1:10" ht="62.25" hidden="1" customHeight="1">
      <c r="A77" s="5231"/>
      <c r="B77" s="473"/>
      <c r="C77" s="3934"/>
      <c r="D77" s="473"/>
      <c r="E77" s="265">
        <v>0</v>
      </c>
      <c r="F77" s="222">
        <f>SUM(G77:H77)</f>
        <v>0</v>
      </c>
      <c r="G77" s="100">
        <v>0</v>
      </c>
      <c r="H77" s="222">
        <v>0</v>
      </c>
      <c r="I77" s="299"/>
    </row>
    <row r="78" spans="1:10" ht="143.25" thickBot="1">
      <c r="A78" s="480"/>
      <c r="B78" s="484"/>
      <c r="C78" s="210"/>
      <c r="D78" s="10" t="s">
        <v>88</v>
      </c>
      <c r="E78" s="208">
        <v>45743</v>
      </c>
      <c r="F78" s="209">
        <f>SUM(G78:H78)</f>
        <v>33743</v>
      </c>
      <c r="G78" s="3935">
        <v>0</v>
      </c>
      <c r="H78" s="209">
        <v>33743</v>
      </c>
      <c r="I78" s="3936" t="s">
        <v>237</v>
      </c>
    </row>
    <row r="79" spans="1:10" ht="24" customHeight="1" thickBot="1">
      <c r="A79" s="3875" t="s">
        <v>40</v>
      </c>
      <c r="B79" s="3937"/>
      <c r="C79" s="3938" t="s">
        <v>41</v>
      </c>
      <c r="D79" s="3768"/>
      <c r="E79" s="3939">
        <f t="shared" ref="E79:G80" si="15">SUM(E80)</f>
        <v>40000</v>
      </c>
      <c r="F79" s="3940">
        <f t="shared" si="15"/>
        <v>40000</v>
      </c>
      <c r="G79" s="3940">
        <f t="shared" si="15"/>
        <v>0</v>
      </c>
      <c r="H79" s="3940">
        <f t="shared" ref="H79" si="16">SUM(H80)</f>
        <v>40000</v>
      </c>
      <c r="I79" s="3941"/>
      <c r="J79" s="26"/>
    </row>
    <row r="80" spans="1:10" s="28" customFormat="1" ht="24" customHeight="1" thickBot="1">
      <c r="A80" s="5362"/>
      <c r="B80" s="3942" t="s">
        <v>45</v>
      </c>
      <c r="C80" s="3943" t="s">
        <v>1112</v>
      </c>
      <c r="D80" s="3944"/>
      <c r="E80" s="3945">
        <f t="shared" si="15"/>
        <v>40000</v>
      </c>
      <c r="F80" s="3946">
        <f t="shared" si="15"/>
        <v>40000</v>
      </c>
      <c r="G80" s="3946">
        <f t="shared" si="15"/>
        <v>0</v>
      </c>
      <c r="H80" s="3946">
        <f t="shared" ref="H80" si="17">SUM(H81)</f>
        <v>40000</v>
      </c>
      <c r="I80" s="3947"/>
    </row>
    <row r="81" spans="1:9" s="28" customFormat="1" ht="51.75" customHeight="1">
      <c r="A81" s="5247"/>
      <c r="B81" s="5363"/>
      <c r="C81" s="5356"/>
      <c r="D81" s="5268" t="s">
        <v>25</v>
      </c>
      <c r="E81" s="5269">
        <v>40000</v>
      </c>
      <c r="F81" s="5271">
        <f>SUM(G81:H82)</f>
        <v>40000</v>
      </c>
      <c r="G81" s="5272">
        <v>0</v>
      </c>
      <c r="H81" s="5271">
        <v>40000</v>
      </c>
      <c r="I81" s="5266" t="s">
        <v>215</v>
      </c>
    </row>
    <row r="82" spans="1:9" s="28" customFormat="1" ht="13.5" customHeight="1" thickBot="1">
      <c r="A82" s="5248"/>
      <c r="B82" s="5250"/>
      <c r="C82" s="5252"/>
      <c r="D82" s="5204"/>
      <c r="E82" s="5270"/>
      <c r="F82" s="5242"/>
      <c r="G82" s="5218"/>
      <c r="H82" s="5242"/>
      <c r="I82" s="5267"/>
    </row>
    <row r="83" spans="1:9" s="40" customFormat="1" ht="24" customHeight="1" thickBot="1">
      <c r="A83" s="3948" t="s">
        <v>48</v>
      </c>
      <c r="B83" s="3948"/>
      <c r="C83" s="3949" t="s">
        <v>49</v>
      </c>
      <c r="D83" s="3948"/>
      <c r="E83" s="3950">
        <f>SUM(E87,E84)</f>
        <v>755605</v>
      </c>
      <c r="F83" s="3951">
        <f t="shared" ref="F83:H83" si="18">SUM(F87,F84)</f>
        <v>755598.48</v>
      </c>
      <c r="G83" s="3952">
        <f t="shared" si="18"/>
        <v>755598.48</v>
      </c>
      <c r="H83" s="3951">
        <f t="shared" si="18"/>
        <v>0</v>
      </c>
      <c r="I83" s="3953"/>
    </row>
    <row r="84" spans="1:9" s="41" customFormat="1" ht="47.25" customHeight="1" thickBot="1">
      <c r="A84" s="3884"/>
      <c r="B84" s="3774" t="s">
        <v>153</v>
      </c>
      <c r="C84" s="3954" t="s">
        <v>154</v>
      </c>
      <c r="D84" s="3774"/>
      <c r="E84" s="3919">
        <f>E85</f>
        <v>755605</v>
      </c>
      <c r="F84" s="3822">
        <f>F85</f>
        <v>755598.48</v>
      </c>
      <c r="G84" s="3823">
        <f>G85</f>
        <v>755598.48</v>
      </c>
      <c r="H84" s="3822">
        <f>H85</f>
        <v>0</v>
      </c>
      <c r="I84" s="3955"/>
    </row>
    <row r="85" spans="1:9" s="227" customFormat="1" ht="397.5" customHeight="1">
      <c r="A85" s="295"/>
      <c r="B85" s="3956"/>
      <c r="C85" s="3957"/>
      <c r="D85" s="3958" t="s">
        <v>86</v>
      </c>
      <c r="E85" s="3959">
        <v>755605</v>
      </c>
      <c r="F85" s="3960">
        <f>SUM(G85:H85)</f>
        <v>755598.48</v>
      </c>
      <c r="G85" s="3960">
        <v>755598.48</v>
      </c>
      <c r="H85" s="3960">
        <v>0</v>
      </c>
      <c r="I85" s="3961" t="s">
        <v>238</v>
      </c>
    </row>
    <row r="86" spans="1:9" ht="127.5" customHeight="1" thickBot="1">
      <c r="A86" s="205"/>
      <c r="B86" s="484"/>
      <c r="C86" s="228"/>
      <c r="D86" s="484"/>
      <c r="E86" s="489"/>
      <c r="F86" s="483"/>
      <c r="G86" s="89"/>
      <c r="H86" s="483"/>
      <c r="I86" s="229" t="s">
        <v>211</v>
      </c>
    </row>
    <row r="87" spans="1:9" ht="33.75" hidden="1" customHeight="1" thickBot="1">
      <c r="A87" s="59"/>
      <c r="B87" s="74" t="s">
        <v>155</v>
      </c>
      <c r="C87" s="78" t="s">
        <v>91</v>
      </c>
      <c r="D87" s="74"/>
      <c r="E87" s="3962">
        <f>E88</f>
        <v>0</v>
      </c>
      <c r="F87" s="116">
        <f t="shared" ref="F87:H87" si="19">F88</f>
        <v>0</v>
      </c>
      <c r="G87" s="117">
        <f t="shared" si="19"/>
        <v>0</v>
      </c>
      <c r="H87" s="116">
        <f t="shared" si="19"/>
        <v>0</v>
      </c>
      <c r="I87" s="300"/>
    </row>
    <row r="88" spans="1:9" ht="217.5" hidden="1" customHeight="1" thickBot="1">
      <c r="A88" s="63"/>
      <c r="B88" s="3836"/>
      <c r="C88" s="3963"/>
      <c r="D88" s="3836" t="s">
        <v>86</v>
      </c>
      <c r="E88" s="3964"/>
      <c r="F88" s="3965">
        <f>SUM(G88:H88)</f>
        <v>0</v>
      </c>
      <c r="G88" s="3966"/>
      <c r="H88" s="3965">
        <v>0</v>
      </c>
      <c r="I88" s="3967" t="s">
        <v>156</v>
      </c>
    </row>
    <row r="89" spans="1:9" ht="57.75" hidden="1" customHeight="1" thickBot="1">
      <c r="A89" s="3877" t="s">
        <v>157</v>
      </c>
      <c r="B89" s="3968"/>
      <c r="C89" s="3969" t="s">
        <v>158</v>
      </c>
      <c r="D89" s="3968"/>
      <c r="E89" s="3880">
        <f>SUM(E90)</f>
        <v>0</v>
      </c>
      <c r="F89" s="3881">
        <f t="shared" ref="F89:H90" si="20">SUM(F90)</f>
        <v>0</v>
      </c>
      <c r="G89" s="3882">
        <f t="shared" si="20"/>
        <v>0</v>
      </c>
      <c r="H89" s="3881">
        <f t="shared" si="20"/>
        <v>0</v>
      </c>
      <c r="I89" s="3773"/>
    </row>
    <row r="90" spans="1:9" ht="26.25" hidden="1" customHeight="1">
      <c r="A90" s="5253"/>
      <c r="B90" s="3970" t="s">
        <v>159</v>
      </c>
      <c r="C90" s="3971" t="s">
        <v>95</v>
      </c>
      <c r="D90" s="3970"/>
      <c r="E90" s="3972">
        <f>SUM(E91)</f>
        <v>0</v>
      </c>
      <c r="F90" s="3973">
        <f t="shared" si="20"/>
        <v>0</v>
      </c>
      <c r="G90" s="3974">
        <f t="shared" si="20"/>
        <v>0</v>
      </c>
      <c r="H90" s="3973">
        <f t="shared" si="20"/>
        <v>0</v>
      </c>
      <c r="I90" s="3975"/>
    </row>
    <row r="91" spans="1:9" ht="6.75" hidden="1" customHeight="1" thickBot="1">
      <c r="A91" s="5201"/>
      <c r="B91" s="479"/>
      <c r="C91" s="77"/>
      <c r="D91" s="479" t="s">
        <v>86</v>
      </c>
      <c r="E91" s="48"/>
      <c r="F91" s="99">
        <f>SUM(G91:H91)</f>
        <v>0</v>
      </c>
      <c r="G91" s="83"/>
      <c r="H91" s="99">
        <v>0</v>
      </c>
      <c r="I91" s="3976" t="s">
        <v>160</v>
      </c>
    </row>
    <row r="92" spans="1:9" s="5" customFormat="1" ht="38.1" customHeight="1" thickBot="1">
      <c r="A92" s="3767" t="s">
        <v>161</v>
      </c>
      <c r="B92" s="3768"/>
      <c r="C92" s="3769" t="s">
        <v>162</v>
      </c>
      <c r="D92" s="3768"/>
      <c r="E92" s="3770">
        <f>SUM(E93)</f>
        <v>200000</v>
      </c>
      <c r="F92" s="3771">
        <f t="shared" ref="F92:H93" si="21">SUM(F93)</f>
        <v>200000</v>
      </c>
      <c r="G92" s="3772">
        <f t="shared" si="21"/>
        <v>200000</v>
      </c>
      <c r="H92" s="3771">
        <f t="shared" si="21"/>
        <v>0</v>
      </c>
      <c r="I92" s="3977"/>
    </row>
    <row r="93" spans="1:9" s="5" customFormat="1" ht="36" customHeight="1" thickBot="1">
      <c r="A93" s="5230"/>
      <c r="B93" s="3774" t="s">
        <v>163</v>
      </c>
      <c r="C93" s="3794" t="s">
        <v>164</v>
      </c>
      <c r="D93" s="3774"/>
      <c r="E93" s="3821">
        <f>SUM(E94)</f>
        <v>200000</v>
      </c>
      <c r="F93" s="3822">
        <f t="shared" si="21"/>
        <v>200000</v>
      </c>
      <c r="G93" s="3823">
        <f t="shared" si="21"/>
        <v>200000</v>
      </c>
      <c r="H93" s="3822">
        <f t="shared" si="21"/>
        <v>0</v>
      </c>
      <c r="I93" s="3978"/>
    </row>
    <row r="94" spans="1:9" s="5" customFormat="1" ht="70.5" customHeight="1" thickBot="1">
      <c r="A94" s="5232"/>
      <c r="B94" s="484"/>
      <c r="C94" s="210"/>
      <c r="D94" s="484" t="s">
        <v>86</v>
      </c>
      <c r="E94" s="190">
        <v>200000</v>
      </c>
      <c r="F94" s="483">
        <f>SUM(G94:H94)</f>
        <v>200000</v>
      </c>
      <c r="G94" s="89">
        <v>200000</v>
      </c>
      <c r="H94" s="483">
        <v>0</v>
      </c>
      <c r="I94" s="34" t="s">
        <v>210</v>
      </c>
    </row>
    <row r="95" spans="1:9" s="5" customFormat="1" ht="38.1" customHeight="1" thickBot="1">
      <c r="A95" s="3767" t="s">
        <v>55</v>
      </c>
      <c r="B95" s="3768"/>
      <c r="C95" s="3769" t="s">
        <v>56</v>
      </c>
      <c r="D95" s="3768"/>
      <c r="E95" s="3770">
        <f>SUM(E96,E98)</f>
        <v>82219</v>
      </c>
      <c r="F95" s="3771">
        <f>SUM(F96,F98)</f>
        <v>58365</v>
      </c>
      <c r="G95" s="3772">
        <f>SUM(G96,G98)</f>
        <v>11757</v>
      </c>
      <c r="H95" s="3771">
        <f>SUM(H96,H98)</f>
        <v>46608</v>
      </c>
      <c r="I95" s="3773"/>
    </row>
    <row r="96" spans="1:9" s="5" customFormat="1" ht="27" hidden="1" customHeight="1" thickBot="1">
      <c r="A96" s="5230"/>
      <c r="B96" s="3979"/>
      <c r="C96" s="3980"/>
      <c r="D96" s="3979"/>
      <c r="E96" s="3981"/>
      <c r="F96" s="3982"/>
      <c r="G96" s="3983"/>
      <c r="H96" s="3982"/>
      <c r="I96" s="3975"/>
    </row>
    <row r="97" spans="1:11" s="5" customFormat="1" ht="60" hidden="1" customHeight="1" thickBot="1">
      <c r="A97" s="5231"/>
      <c r="B97" s="484"/>
      <c r="C97" s="210"/>
      <c r="D97" s="484"/>
      <c r="E97" s="190"/>
      <c r="F97" s="483"/>
      <c r="G97" s="89"/>
      <c r="H97" s="483"/>
      <c r="I97" s="3976"/>
    </row>
    <row r="98" spans="1:11" s="5" customFormat="1" ht="24" customHeight="1" thickBot="1">
      <c r="A98" s="5231"/>
      <c r="B98" s="211" t="s">
        <v>165</v>
      </c>
      <c r="C98" s="212" t="s">
        <v>95</v>
      </c>
      <c r="D98" s="211"/>
      <c r="E98" s="213">
        <f>SUM(E99:E100)</f>
        <v>82219</v>
      </c>
      <c r="F98" s="3822">
        <f>SUM(F99:F100)</f>
        <v>58365</v>
      </c>
      <c r="G98" s="214">
        <f>SUM(G99:G100)</f>
        <v>11757</v>
      </c>
      <c r="H98" s="215">
        <f>SUM(H99:H100)</f>
        <v>46608</v>
      </c>
      <c r="I98" s="297"/>
    </row>
    <row r="99" spans="1:11" s="5" customFormat="1" ht="57" customHeight="1">
      <c r="A99" s="5231"/>
      <c r="B99" s="5311"/>
      <c r="C99" s="5313"/>
      <c r="D99" s="3984" t="s">
        <v>86</v>
      </c>
      <c r="E99" s="3985">
        <v>23611</v>
      </c>
      <c r="F99" s="3986">
        <f>SUM(G99:H99)</f>
        <v>11757</v>
      </c>
      <c r="G99" s="3987">
        <v>11757</v>
      </c>
      <c r="H99" s="3986">
        <v>0</v>
      </c>
      <c r="I99" s="3988" t="s">
        <v>239</v>
      </c>
    </row>
    <row r="100" spans="1:11" s="5" customFormat="1" ht="141.75" customHeight="1" thickBot="1">
      <c r="A100" s="5232"/>
      <c r="B100" s="5312"/>
      <c r="C100" s="5314"/>
      <c r="D100" s="10" t="s">
        <v>88</v>
      </c>
      <c r="E100" s="208">
        <v>58608</v>
      </c>
      <c r="F100" s="209">
        <f>SUM(G100:H100)</f>
        <v>46608</v>
      </c>
      <c r="G100" s="3935">
        <v>0</v>
      </c>
      <c r="H100" s="209">
        <v>46608</v>
      </c>
      <c r="I100" s="3989" t="s">
        <v>227</v>
      </c>
    </row>
    <row r="101" spans="1:11" s="127" customFormat="1" ht="38.1" customHeight="1" thickBot="1">
      <c r="A101" s="3990" t="s">
        <v>105</v>
      </c>
      <c r="B101" s="3991"/>
      <c r="C101" s="3992" t="s">
        <v>106</v>
      </c>
      <c r="D101" s="3991"/>
      <c r="E101" s="3993">
        <f>SUM(E102,E105,E114,E110,E112)</f>
        <v>895440</v>
      </c>
      <c r="F101" s="3993">
        <f>SUM(G101:H101)</f>
        <v>880438</v>
      </c>
      <c r="G101" s="3993">
        <f>SUM(G102,G105,G114,G110,G112)</f>
        <v>375602</v>
      </c>
      <c r="H101" s="3994">
        <f>SUM(H102,H105,H114,H110,H112)</f>
        <v>504836</v>
      </c>
      <c r="I101" s="3995"/>
    </row>
    <row r="102" spans="1:11" s="127" customFormat="1" ht="38.1" customHeight="1" thickBot="1">
      <c r="A102" s="3996"/>
      <c r="B102" s="3944" t="s">
        <v>166</v>
      </c>
      <c r="C102" s="3997" t="s">
        <v>360</v>
      </c>
      <c r="D102" s="3944"/>
      <c r="E102" s="3998">
        <f>SUM(E103:E104)</f>
        <v>24000</v>
      </c>
      <c r="F102" s="3999">
        <f>SUM(F103:F104)</f>
        <v>12000</v>
      </c>
      <c r="G102" s="4000">
        <f>SUM(G103:G104)</f>
        <v>12000</v>
      </c>
      <c r="H102" s="4001">
        <f>SUM(H103:H104)</f>
        <v>0</v>
      </c>
      <c r="I102" s="4002"/>
    </row>
    <row r="103" spans="1:11" s="127" customFormat="1" ht="48" customHeight="1">
      <c r="A103" s="490"/>
      <c r="B103" s="5354"/>
      <c r="C103" s="5364"/>
      <c r="D103" s="485" t="s">
        <v>86</v>
      </c>
      <c r="E103" s="4003">
        <v>12000</v>
      </c>
      <c r="F103" s="253">
        <f>SUM(G103:H103)</f>
        <v>12000</v>
      </c>
      <c r="G103" s="4004">
        <v>12000</v>
      </c>
      <c r="H103" s="487">
        <v>0</v>
      </c>
      <c r="I103" s="301" t="s">
        <v>1241</v>
      </c>
    </row>
    <row r="104" spans="1:11" s="259" customFormat="1" ht="57.75" customHeight="1" thickBot="1">
      <c r="A104" s="4005"/>
      <c r="B104" s="5355"/>
      <c r="C104" s="5365"/>
      <c r="D104" s="254" t="s">
        <v>88</v>
      </c>
      <c r="E104" s="256">
        <v>12000</v>
      </c>
      <c r="F104" s="4006">
        <f>SUM(G104:H104)</f>
        <v>0</v>
      </c>
      <c r="G104" s="257">
        <v>0</v>
      </c>
      <c r="H104" s="258">
        <v>0</v>
      </c>
      <c r="I104" s="4249" t="s">
        <v>1250</v>
      </c>
    </row>
    <row r="105" spans="1:11" s="127" customFormat="1" ht="38.1" customHeight="1" thickBot="1">
      <c r="A105" s="4007"/>
      <c r="B105" s="4008">
        <v>92109</v>
      </c>
      <c r="C105" s="3997" t="s">
        <v>111</v>
      </c>
      <c r="D105" s="4008"/>
      <c r="E105" s="4009">
        <f>SUM(E106:E108)</f>
        <v>271589</v>
      </c>
      <c r="F105" s="4001">
        <f>SUM(F106:F108)</f>
        <v>270877</v>
      </c>
      <c r="G105" s="4000">
        <f>SUM(G106:G108)</f>
        <v>144877</v>
      </c>
      <c r="H105" s="4001">
        <f>SUM(H106:H108)</f>
        <v>126000</v>
      </c>
      <c r="I105" s="4010"/>
      <c r="J105" s="223"/>
    </row>
    <row r="106" spans="1:11" s="127" customFormat="1" ht="405.75" customHeight="1">
      <c r="A106" s="490"/>
      <c r="B106" s="4011"/>
      <c r="C106" s="4012"/>
      <c r="D106" s="5326">
        <v>2710</v>
      </c>
      <c r="E106" s="5328">
        <v>145589</v>
      </c>
      <c r="F106" s="5320">
        <f>SUM(G106:H107)</f>
        <v>144877</v>
      </c>
      <c r="G106" s="5322">
        <v>144877</v>
      </c>
      <c r="H106" s="5320">
        <v>0</v>
      </c>
      <c r="I106" s="5324" t="s">
        <v>1244</v>
      </c>
    </row>
    <row r="107" spans="1:11" s="127" customFormat="1" ht="168" customHeight="1" thickBot="1">
      <c r="A107" s="296"/>
      <c r="B107" s="139"/>
      <c r="C107" s="140"/>
      <c r="D107" s="5327"/>
      <c r="E107" s="5329"/>
      <c r="F107" s="5321"/>
      <c r="G107" s="5323"/>
      <c r="H107" s="5321"/>
      <c r="I107" s="5325"/>
    </row>
    <row r="108" spans="1:11" s="127" customFormat="1" ht="409.6" customHeight="1">
      <c r="A108" s="3996"/>
      <c r="B108" s="4014"/>
      <c r="C108" s="4012"/>
      <c r="D108" s="5326">
        <v>6300</v>
      </c>
      <c r="E108" s="5341">
        <v>126000</v>
      </c>
      <c r="F108" s="5334">
        <f>SUM(G108:H108)</f>
        <v>126000</v>
      </c>
      <c r="G108" s="5334">
        <v>0</v>
      </c>
      <c r="H108" s="5334">
        <v>126000</v>
      </c>
      <c r="I108" s="5332" t="s">
        <v>1247</v>
      </c>
      <c r="K108" s="4240"/>
    </row>
    <row r="109" spans="1:11" s="127" customFormat="1" ht="33" customHeight="1" thickBot="1">
      <c r="A109" s="249"/>
      <c r="B109" s="139"/>
      <c r="C109" s="140"/>
      <c r="D109" s="5327"/>
      <c r="E109" s="5342"/>
      <c r="F109" s="5335"/>
      <c r="G109" s="5335"/>
      <c r="H109" s="5335"/>
      <c r="I109" s="5333"/>
    </row>
    <row r="110" spans="1:11" s="127" customFormat="1" ht="24" customHeight="1" thickBot="1">
      <c r="A110" s="249"/>
      <c r="B110" s="131" t="s">
        <v>197</v>
      </c>
      <c r="C110" s="132" t="s">
        <v>113</v>
      </c>
      <c r="D110" s="131"/>
      <c r="E110" s="141">
        <f>SUM(E111)</f>
        <v>15000</v>
      </c>
      <c r="F110" s="133">
        <f>SUM(F111)</f>
        <v>15000</v>
      </c>
      <c r="G110" s="4013">
        <f>SUM(G111)</f>
        <v>0</v>
      </c>
      <c r="H110" s="134">
        <f>SUM(H111)</f>
        <v>15000</v>
      </c>
      <c r="I110" s="135"/>
    </row>
    <row r="111" spans="1:11" s="127" customFormat="1" ht="73.5" customHeight="1" thickBot="1">
      <c r="A111" s="249"/>
      <c r="B111" s="136"/>
      <c r="C111" s="137"/>
      <c r="D111" s="482" t="s">
        <v>88</v>
      </c>
      <c r="E111" s="142">
        <v>15000</v>
      </c>
      <c r="F111" s="138">
        <f>SUM(G111:H111)</f>
        <v>15000</v>
      </c>
      <c r="G111" s="4015">
        <v>0</v>
      </c>
      <c r="H111" s="481">
        <v>15000</v>
      </c>
      <c r="I111" s="302" t="s">
        <v>240</v>
      </c>
    </row>
    <row r="112" spans="1:11" s="127" customFormat="1" ht="24" customHeight="1" thickBot="1">
      <c r="A112" s="249"/>
      <c r="B112" s="131" t="s">
        <v>195</v>
      </c>
      <c r="C112" s="132" t="s">
        <v>196</v>
      </c>
      <c r="D112" s="131"/>
      <c r="E112" s="141">
        <f>SUM(E113)</f>
        <v>150000</v>
      </c>
      <c r="F112" s="133">
        <f>SUM(F113)</f>
        <v>150000</v>
      </c>
      <c r="G112" s="4013">
        <f>SUM(G113)</f>
        <v>150000</v>
      </c>
      <c r="H112" s="134">
        <f>SUM(H113)</f>
        <v>0</v>
      </c>
      <c r="I112" s="135"/>
    </row>
    <row r="113" spans="1:14" s="127" customFormat="1" ht="57.75" customHeight="1" thickBot="1">
      <c r="A113" s="296"/>
      <c r="B113" s="136"/>
      <c r="C113" s="137"/>
      <c r="D113" s="482" t="s">
        <v>86</v>
      </c>
      <c r="E113" s="142">
        <v>150000</v>
      </c>
      <c r="F113" s="138">
        <f>SUM(G113:H113)</f>
        <v>150000</v>
      </c>
      <c r="G113" s="4015">
        <v>150000</v>
      </c>
      <c r="H113" s="481">
        <v>0</v>
      </c>
      <c r="I113" s="303" t="s">
        <v>241</v>
      </c>
    </row>
    <row r="114" spans="1:14" s="127" customFormat="1" ht="24" customHeight="1" thickBot="1">
      <c r="A114" s="3996"/>
      <c r="B114" s="4008">
        <v>92195</v>
      </c>
      <c r="C114" s="3997" t="s">
        <v>95</v>
      </c>
      <c r="D114" s="4054"/>
      <c r="E114" s="4055">
        <f>SUM(E115:E117)</f>
        <v>434851</v>
      </c>
      <c r="F114" s="4001">
        <f>SUM(F115:F117)</f>
        <v>432561</v>
      </c>
      <c r="G114" s="4000">
        <f>SUM(G115:G117)</f>
        <v>68725</v>
      </c>
      <c r="H114" s="4001">
        <f>SUM(H115:H117)</f>
        <v>363836</v>
      </c>
      <c r="I114" s="4056"/>
    </row>
    <row r="115" spans="1:14" s="127" customFormat="1" ht="269.25" customHeight="1">
      <c r="A115" s="249"/>
      <c r="B115" s="4057"/>
      <c r="C115" s="5336"/>
      <c r="D115" s="5326">
        <v>2710</v>
      </c>
      <c r="E115" s="5328">
        <v>69000</v>
      </c>
      <c r="F115" s="5320">
        <f>G115+H115</f>
        <v>68725</v>
      </c>
      <c r="G115" s="5322">
        <v>68725</v>
      </c>
      <c r="H115" s="5320">
        <v>0</v>
      </c>
      <c r="I115" s="5324" t="s">
        <v>1245</v>
      </c>
      <c r="K115" s="4241"/>
    </row>
    <row r="116" spans="1:14" s="127" customFormat="1" ht="1.5" hidden="1" customHeight="1" thickBot="1">
      <c r="A116" s="249"/>
      <c r="B116" s="4058"/>
      <c r="C116" s="5337"/>
      <c r="D116" s="5338"/>
      <c r="E116" s="5339"/>
      <c r="F116" s="5330"/>
      <c r="G116" s="5340"/>
      <c r="H116" s="5330"/>
      <c r="I116" s="5331"/>
    </row>
    <row r="117" spans="1:14" s="127" customFormat="1" ht="409.5" customHeight="1" thickBot="1">
      <c r="A117" s="296"/>
      <c r="B117" s="4059"/>
      <c r="C117" s="4060"/>
      <c r="D117" s="4061">
        <v>6300</v>
      </c>
      <c r="E117" s="4062">
        <v>365851</v>
      </c>
      <c r="F117" s="4063">
        <f>G117+H117</f>
        <v>363836</v>
      </c>
      <c r="G117" s="4063">
        <v>0</v>
      </c>
      <c r="H117" s="4063">
        <v>363836</v>
      </c>
      <c r="I117" s="4064" t="s">
        <v>1242</v>
      </c>
      <c r="N117" s="223"/>
    </row>
    <row r="118" spans="1:14" s="127" customFormat="1" ht="62.25" customHeight="1" thickBot="1">
      <c r="A118" s="4027"/>
      <c r="B118" s="4028"/>
      <c r="C118" s="4029"/>
      <c r="D118" s="4030">
        <v>6300</v>
      </c>
      <c r="E118" s="4031" t="s">
        <v>209</v>
      </c>
      <c r="F118" s="4031" t="s">
        <v>209</v>
      </c>
      <c r="G118" s="4031" t="s">
        <v>209</v>
      </c>
      <c r="H118" s="4031" t="s">
        <v>209</v>
      </c>
      <c r="I118" s="4032" t="s">
        <v>208</v>
      </c>
    </row>
    <row r="119" spans="1:14" s="5" customFormat="1" ht="24" customHeight="1" thickBot="1">
      <c r="A119" s="3767" t="s">
        <v>167</v>
      </c>
      <c r="B119" s="4033"/>
      <c r="C119" s="3769" t="s">
        <v>168</v>
      </c>
      <c r="D119" s="3768"/>
      <c r="E119" s="4034">
        <f>SUM(E120,E123,E125,E127)</f>
        <v>189102</v>
      </c>
      <c r="F119" s="3771">
        <f>SUM(F120,F123,F125,F127)</f>
        <v>176009</v>
      </c>
      <c r="G119" s="4035">
        <f t="shared" ref="G119:H119" si="22">SUM(G120,G123,G125,G127)</f>
        <v>32532</v>
      </c>
      <c r="H119" s="3771">
        <f t="shared" si="22"/>
        <v>143477</v>
      </c>
      <c r="I119" s="3977"/>
    </row>
    <row r="120" spans="1:14" s="5" customFormat="1" ht="24" customHeight="1" thickBot="1">
      <c r="A120" s="3884"/>
      <c r="B120" s="4036">
        <v>92601</v>
      </c>
      <c r="C120" s="3898" t="s">
        <v>169</v>
      </c>
      <c r="D120" s="4036"/>
      <c r="E120" s="3919">
        <f>SUM(E121:E122)</f>
        <v>81350</v>
      </c>
      <c r="F120" s="3822">
        <f>SUM(F121:F122)</f>
        <v>80257</v>
      </c>
      <c r="G120" s="4037">
        <f>SUM(G121:G122)</f>
        <v>8532</v>
      </c>
      <c r="H120" s="3822">
        <f>SUM(H121:H122)</f>
        <v>71725</v>
      </c>
      <c r="I120" s="4038"/>
    </row>
    <row r="121" spans="1:14" s="5" customFormat="1" ht="47.25" customHeight="1">
      <c r="A121" s="59"/>
      <c r="B121" s="5357"/>
      <c r="C121" s="5359"/>
      <c r="D121" s="4039">
        <v>2710</v>
      </c>
      <c r="E121" s="4040">
        <v>9600</v>
      </c>
      <c r="F121" s="4041">
        <f>SUM(G121:H121)</f>
        <v>8532</v>
      </c>
      <c r="G121" s="4042">
        <v>8532</v>
      </c>
      <c r="H121" s="4041">
        <v>0</v>
      </c>
      <c r="I121" s="4043" t="s">
        <v>242</v>
      </c>
    </row>
    <row r="122" spans="1:14" s="5" customFormat="1" ht="228" customHeight="1" thickBot="1">
      <c r="A122" s="59"/>
      <c r="B122" s="5358"/>
      <c r="C122" s="5360"/>
      <c r="D122" s="261">
        <v>6300</v>
      </c>
      <c r="E122" s="216">
        <v>71750</v>
      </c>
      <c r="F122" s="217">
        <f>SUM(G122:H122)</f>
        <v>71725</v>
      </c>
      <c r="G122" s="218">
        <v>0</v>
      </c>
      <c r="H122" s="217">
        <v>71725</v>
      </c>
      <c r="I122" s="4044" t="s">
        <v>243</v>
      </c>
    </row>
    <row r="123" spans="1:14" s="5" customFormat="1" ht="32.25" hidden="1" customHeight="1" thickBot="1">
      <c r="A123" s="59"/>
      <c r="B123" s="3828" t="s">
        <v>170</v>
      </c>
      <c r="C123" s="4045" t="s">
        <v>171</v>
      </c>
      <c r="D123" s="3828"/>
      <c r="E123" s="3830">
        <f>SUM(E124)</f>
        <v>0</v>
      </c>
      <c r="F123" s="3831">
        <f>SUM(F124)</f>
        <v>0</v>
      </c>
      <c r="G123" s="4046">
        <f>SUM(G124)</f>
        <v>0</v>
      </c>
      <c r="H123" s="3831">
        <f>SUM(H124)</f>
        <v>0</v>
      </c>
      <c r="I123" s="4047"/>
    </row>
    <row r="124" spans="1:14" s="5" customFormat="1" ht="100.5" hidden="1" customHeight="1" thickBot="1">
      <c r="A124" s="63"/>
      <c r="B124" s="81"/>
      <c r="C124" s="82"/>
      <c r="D124" s="479" t="s">
        <v>88</v>
      </c>
      <c r="E124" s="49"/>
      <c r="F124" s="104">
        <f>SUM(G124:H124)</f>
        <v>0</v>
      </c>
      <c r="G124" s="4048">
        <v>0</v>
      </c>
      <c r="H124" s="99"/>
      <c r="I124" s="304" t="s">
        <v>172</v>
      </c>
    </row>
    <row r="125" spans="1:14" s="6" customFormat="1" ht="39" hidden="1" customHeight="1" thickBot="1">
      <c r="A125" s="59"/>
      <c r="B125" s="74" t="s">
        <v>173</v>
      </c>
      <c r="C125" s="79" t="s">
        <v>174</v>
      </c>
      <c r="D125" s="74"/>
      <c r="E125" s="76">
        <f>SUM(E126)</f>
        <v>0</v>
      </c>
      <c r="F125" s="115">
        <f>SUM(F126)</f>
        <v>0</v>
      </c>
      <c r="G125" s="4049">
        <f>SUM(G126)</f>
        <v>0</v>
      </c>
      <c r="H125" s="115">
        <f>SUM(H126)</f>
        <v>0</v>
      </c>
      <c r="I125" s="297"/>
    </row>
    <row r="126" spans="1:14" s="6" customFormat="1" ht="120" hidden="1" customHeight="1" thickBot="1">
      <c r="A126" s="59"/>
      <c r="B126" s="81"/>
      <c r="C126" s="82"/>
      <c r="D126" s="479" t="s">
        <v>88</v>
      </c>
      <c r="E126" s="49"/>
      <c r="F126" s="104">
        <f>SUM(G126:H126)</f>
        <v>0</v>
      </c>
      <c r="G126" s="4048">
        <v>0</v>
      </c>
      <c r="H126" s="99"/>
      <c r="I126" s="304" t="s">
        <v>175</v>
      </c>
    </row>
    <row r="127" spans="1:14" s="6" customFormat="1" ht="24" customHeight="1" thickBot="1">
      <c r="A127" s="59"/>
      <c r="B127" s="211" t="s">
        <v>176</v>
      </c>
      <c r="C127" s="219" t="s">
        <v>95</v>
      </c>
      <c r="D127" s="211"/>
      <c r="E127" s="4050">
        <f>SUM(E128:E129)</f>
        <v>107752</v>
      </c>
      <c r="F127" s="3777">
        <f t="shared" ref="F127:H127" si="23">SUM(F128:F129)</f>
        <v>95752</v>
      </c>
      <c r="G127" s="4051">
        <f t="shared" si="23"/>
        <v>24000</v>
      </c>
      <c r="H127" s="3777">
        <f t="shared" si="23"/>
        <v>71752</v>
      </c>
      <c r="I127" s="80"/>
    </row>
    <row r="128" spans="1:14" s="6" customFormat="1" ht="115.5" customHeight="1" thickBot="1">
      <c r="A128" s="63"/>
      <c r="B128" s="4017"/>
      <c r="C128" s="4018"/>
      <c r="D128" s="491" t="s">
        <v>86</v>
      </c>
      <c r="E128" s="32">
        <v>24000</v>
      </c>
      <c r="F128" s="202">
        <f>SUM(G128:H128)</f>
        <v>24000</v>
      </c>
      <c r="G128" s="4052">
        <v>24000</v>
      </c>
      <c r="H128" s="206">
        <v>0</v>
      </c>
      <c r="I128" s="4053" t="s">
        <v>244</v>
      </c>
    </row>
    <row r="129" spans="1:9" s="6" customFormat="1" ht="261.75" customHeight="1" thickBot="1">
      <c r="A129" s="4016"/>
      <c r="B129" s="4017"/>
      <c r="C129" s="4018"/>
      <c r="D129" s="3863" t="s">
        <v>88</v>
      </c>
      <c r="E129" s="4019">
        <v>83752</v>
      </c>
      <c r="F129" s="4020">
        <f>SUM(G129:H129)</f>
        <v>71752</v>
      </c>
      <c r="G129" s="4021">
        <v>0</v>
      </c>
      <c r="H129" s="3907">
        <v>71752</v>
      </c>
      <c r="I129" s="4022" t="s">
        <v>245</v>
      </c>
    </row>
    <row r="130" spans="1:9" ht="39.75" customHeight="1" thickBot="1">
      <c r="A130" s="5138" t="s">
        <v>177</v>
      </c>
      <c r="B130" s="5361"/>
      <c r="C130" s="5139"/>
      <c r="D130" s="4023"/>
      <c r="E130" s="4024">
        <f>SUM(E7,E13,E37,E43,E54,E57,E64,E70,E83,E89,E92,E95,E101,E119,E51,E79)</f>
        <v>24494668</v>
      </c>
      <c r="F130" s="4025">
        <f t="shared" ref="F130:H130" si="24">SUM(F7,F13,F37,F43,F54,F57,F64,F70,F83,F89,F92,F95,F101,F119,F51,F79)</f>
        <v>20958042.989999998</v>
      </c>
      <c r="G130" s="4025">
        <f t="shared" si="24"/>
        <v>9735455.4700000007</v>
      </c>
      <c r="H130" s="4025">
        <f t="shared" si="24"/>
        <v>11222587.52</v>
      </c>
      <c r="I130" s="4026"/>
    </row>
    <row r="132" spans="1:9">
      <c r="E132" s="27"/>
      <c r="F132" s="27"/>
      <c r="G132" s="27"/>
      <c r="H132" s="27"/>
      <c r="I132" s="305"/>
    </row>
    <row r="133" spans="1:9">
      <c r="E133" s="27"/>
      <c r="F133" s="27"/>
      <c r="G133" s="27"/>
      <c r="H133" s="27"/>
    </row>
    <row r="134" spans="1:9">
      <c r="F134" s="27"/>
    </row>
    <row r="135" spans="1:9" s="471" customFormat="1">
      <c r="A135" s="468"/>
      <c r="B135" s="468"/>
      <c r="C135" s="469"/>
      <c r="D135" s="248"/>
      <c r="E135" s="248"/>
      <c r="F135" s="248"/>
      <c r="G135" s="248"/>
      <c r="H135" s="248"/>
      <c r="I135" s="470"/>
    </row>
    <row r="136" spans="1:9">
      <c r="H136" s="27"/>
    </row>
    <row r="138" spans="1:9">
      <c r="G138" s="27"/>
    </row>
    <row r="139" spans="1:9">
      <c r="G139" s="27"/>
    </row>
  </sheetData>
  <mergeCells count="83">
    <mergeCell ref="B103:B104"/>
    <mergeCell ref="C81:C82"/>
    <mergeCell ref="B121:B122"/>
    <mergeCell ref="C121:C122"/>
    <mergeCell ref="A130:C130"/>
    <mergeCell ref="A96:A100"/>
    <mergeCell ref="B99:B100"/>
    <mergeCell ref="C99:C100"/>
    <mergeCell ref="A90:A91"/>
    <mergeCell ref="A80:A82"/>
    <mergeCell ref="B81:B82"/>
    <mergeCell ref="A93:A94"/>
    <mergeCell ref="C103:C104"/>
    <mergeCell ref="C49:C50"/>
    <mergeCell ref="B49:B50"/>
    <mergeCell ref="A52:A53"/>
    <mergeCell ref="B72:B73"/>
    <mergeCell ref="C72:C73"/>
    <mergeCell ref="A55:A56"/>
    <mergeCell ref="A71:A77"/>
    <mergeCell ref="H115:H116"/>
    <mergeCell ref="I115:I116"/>
    <mergeCell ref="I108:I109"/>
    <mergeCell ref="H108:H109"/>
    <mergeCell ref="C115:C116"/>
    <mergeCell ref="D115:D116"/>
    <mergeCell ref="E115:E116"/>
    <mergeCell ref="F115:F116"/>
    <mergeCell ref="G115:G116"/>
    <mergeCell ref="G108:G109"/>
    <mergeCell ref="F108:F109"/>
    <mergeCell ref="E108:E109"/>
    <mergeCell ref="D108:D109"/>
    <mergeCell ref="F106:F107"/>
    <mergeCell ref="G106:G107"/>
    <mergeCell ref="H106:H107"/>
    <mergeCell ref="I106:I107"/>
    <mergeCell ref="D106:D107"/>
    <mergeCell ref="E106:E107"/>
    <mergeCell ref="C9:C12"/>
    <mergeCell ref="A34:A36"/>
    <mergeCell ref="B23:B24"/>
    <mergeCell ref="C23:C24"/>
    <mergeCell ref="B32:B33"/>
    <mergeCell ref="C32:C33"/>
    <mergeCell ref="A8:A12"/>
    <mergeCell ref="B9:B12"/>
    <mergeCell ref="A40:A42"/>
    <mergeCell ref="B41:B42"/>
    <mergeCell ref="C41:C42"/>
    <mergeCell ref="A18:A19"/>
    <mergeCell ref="B18:B19"/>
    <mergeCell ref="C18:C19"/>
    <mergeCell ref="A2:I2"/>
    <mergeCell ref="A3:B3"/>
    <mergeCell ref="A4:A6"/>
    <mergeCell ref="B4:B6"/>
    <mergeCell ref="C4:C6"/>
    <mergeCell ref="D4:D6"/>
    <mergeCell ref="E4:H4"/>
    <mergeCell ref="I4:I6"/>
    <mergeCell ref="E5:E6"/>
    <mergeCell ref="F5:F6"/>
    <mergeCell ref="G5:H5"/>
    <mergeCell ref="I17:I19"/>
    <mergeCell ref="D32:D33"/>
    <mergeCell ref="E32:E33"/>
    <mergeCell ref="I45:I46"/>
    <mergeCell ref="F32:F33"/>
    <mergeCell ref="G32:G33"/>
    <mergeCell ref="H32:H33"/>
    <mergeCell ref="I32:I33"/>
    <mergeCell ref="D45:D46"/>
    <mergeCell ref="E45:E46"/>
    <mergeCell ref="F45:F46"/>
    <mergeCell ref="G45:G46"/>
    <mergeCell ref="H45:H46"/>
    <mergeCell ref="I81:I82"/>
    <mergeCell ref="D81:D82"/>
    <mergeCell ref="E81:E82"/>
    <mergeCell ref="F81:F82"/>
    <mergeCell ref="G81:G82"/>
    <mergeCell ref="H81:H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Strona &amp;P z &amp;N</oddFooter>
  </headerFooter>
  <rowBreaks count="6" manualBreakCount="6">
    <brk id="21" max="8" man="1"/>
    <brk id="36" max="8" man="1"/>
    <brk id="50" max="8" man="1"/>
    <brk id="78" max="8" man="1"/>
    <brk id="104" max="8" man="1"/>
    <brk id="11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85897-207E-496E-9321-25744910B807}">
  <sheetPr>
    <pageSetUpPr fitToPage="1"/>
  </sheetPr>
  <dimension ref="A1:J331"/>
  <sheetViews>
    <sheetView view="pageBreakPreview" topLeftCell="A4" zoomScale="90" zoomScaleNormal="100" zoomScaleSheetLayoutView="90" workbookViewId="0">
      <selection activeCell="K153" sqref="K153"/>
    </sheetView>
  </sheetViews>
  <sheetFormatPr defaultRowHeight="14.25"/>
  <cols>
    <col min="1" max="1" width="72.140625" style="4202" customWidth="1"/>
    <col min="2" max="2" width="19.7109375" style="4202" bestFit="1" customWidth="1"/>
    <col min="3" max="3" width="16" style="4202" customWidth="1"/>
    <col min="4" max="4" width="13.5703125" style="4202" customWidth="1"/>
    <col min="5" max="5" width="15.42578125" style="4202" bestFit="1" customWidth="1"/>
    <col min="6" max="6" width="9.140625" style="4202"/>
    <col min="7" max="7" width="11.28515625" style="4202" bestFit="1" customWidth="1"/>
    <col min="8" max="16384" width="9.140625" style="4202"/>
  </cols>
  <sheetData>
    <row r="1" spans="1:7">
      <c r="A1" s="5366" t="s">
        <v>1220</v>
      </c>
      <c r="B1" s="5366"/>
      <c r="C1" s="5366"/>
      <c r="D1" s="5366"/>
    </row>
    <row r="2" spans="1:7">
      <c r="A2" s="5366"/>
      <c r="B2" s="5366"/>
      <c r="C2" s="5366"/>
      <c r="D2" s="5366"/>
    </row>
    <row r="3" spans="1:7" ht="16.5" customHeight="1">
      <c r="A3" s="4203"/>
      <c r="B3" s="4203"/>
      <c r="C3" s="4203"/>
      <c r="D3" s="4203"/>
      <c r="E3" s="4204"/>
    </row>
    <row r="4" spans="1:7" ht="15.75">
      <c r="A4" s="5367" t="s">
        <v>1221</v>
      </c>
      <c r="B4" s="5367"/>
      <c r="C4" s="4203"/>
      <c r="D4" s="4203"/>
    </row>
    <row r="5" spans="1:7" ht="15.75" thickBot="1">
      <c r="A5" s="4203"/>
      <c r="B5" s="4203"/>
      <c r="C5" s="4203"/>
      <c r="D5" s="4205" t="s">
        <v>248</v>
      </c>
    </row>
    <row r="6" spans="1:7" ht="45.75" thickBot="1">
      <c r="A6" s="4206" t="s">
        <v>1222</v>
      </c>
      <c r="B6" s="4207" t="s">
        <v>250</v>
      </c>
      <c r="C6" s="4208" t="s">
        <v>251</v>
      </c>
      <c r="D6" s="4209" t="s">
        <v>1223</v>
      </c>
    </row>
    <row r="7" spans="1:7" ht="13.5" customHeight="1">
      <c r="A7" s="4210" t="s">
        <v>253</v>
      </c>
      <c r="B7" s="4211" t="s">
        <v>254</v>
      </c>
      <c r="C7" s="4212" t="s">
        <v>255</v>
      </c>
      <c r="D7" s="4211" t="s">
        <v>256</v>
      </c>
    </row>
    <row r="8" spans="1:7" hidden="1">
      <c r="A8" s="4213" t="s">
        <v>1224</v>
      </c>
      <c r="B8" s="4214">
        <v>0</v>
      </c>
      <c r="C8" s="4215">
        <v>0</v>
      </c>
      <c r="D8" s="4216" t="e">
        <f>C8/B8*100</f>
        <v>#DIV/0!</v>
      </c>
    </row>
    <row r="9" spans="1:7" ht="20.25" customHeight="1">
      <c r="A9" s="4217" t="s">
        <v>1225</v>
      </c>
      <c r="B9" s="4218">
        <v>779080</v>
      </c>
      <c r="C9" s="4219">
        <v>1952243.35</v>
      </c>
      <c r="D9" s="4220">
        <f>C9/B9*100</f>
        <v>250.58316860912873</v>
      </c>
    </row>
    <row r="10" spans="1:7" ht="24" hidden="1" customHeight="1">
      <c r="A10" s="4217" t="s">
        <v>1226</v>
      </c>
      <c r="B10" s="4218">
        <v>0</v>
      </c>
      <c r="C10" s="4219">
        <v>0</v>
      </c>
      <c r="D10" s="4220" t="s">
        <v>1227</v>
      </c>
    </row>
    <row r="11" spans="1:7" ht="57">
      <c r="A11" s="4221" t="s">
        <v>1228</v>
      </c>
      <c r="B11" s="4218">
        <v>189434496</v>
      </c>
      <c r="C11" s="4219">
        <v>239318891.97999999</v>
      </c>
      <c r="D11" s="4220">
        <f>C11/B11*100</f>
        <v>126.3333220893411</v>
      </c>
    </row>
    <row r="12" spans="1:7" ht="57.75" customHeight="1">
      <c r="A12" s="4221" t="s">
        <v>1229</v>
      </c>
      <c r="B12" s="4218">
        <v>53936199</v>
      </c>
      <c r="C12" s="4219">
        <v>147333544.65000001</v>
      </c>
      <c r="D12" s="4220">
        <f t="shared" ref="D12:D13" si="0">C12/B12*100</f>
        <v>273.16263915816535</v>
      </c>
    </row>
    <row r="13" spans="1:7" ht="65.25" customHeight="1" thickBot="1">
      <c r="A13" s="4222" t="s">
        <v>1230</v>
      </c>
      <c r="B13" s="4218">
        <v>10161309</v>
      </c>
      <c r="C13" s="4219">
        <v>10161309.23</v>
      </c>
      <c r="D13" s="4220">
        <f t="shared" si="0"/>
        <v>100.00000226348791</v>
      </c>
      <c r="E13" s="4223"/>
      <c r="G13" s="4224"/>
    </row>
    <row r="14" spans="1:7" ht="25.5" customHeight="1" thickBot="1">
      <c r="A14" s="4225" t="s">
        <v>77</v>
      </c>
      <c r="B14" s="4226">
        <f>SUM(B8:B13)</f>
        <v>254311084</v>
      </c>
      <c r="C14" s="4227">
        <f>SUM(C8:C13)</f>
        <v>398765989.21000004</v>
      </c>
      <c r="D14" s="4227">
        <f>C14/B14*100</f>
        <v>156.80244169381152</v>
      </c>
    </row>
    <row r="15" spans="1:7" ht="15">
      <c r="A15" s="4203"/>
      <c r="B15" s="4203"/>
      <c r="C15" s="4228"/>
      <c r="D15" s="4228"/>
    </row>
    <row r="16" spans="1:7" ht="15">
      <c r="A16" s="4203"/>
      <c r="B16" s="4203"/>
      <c r="C16" s="4228"/>
      <c r="D16" s="4228"/>
    </row>
    <row r="17" spans="1:6" ht="15.75">
      <c r="A17" s="5367" t="s">
        <v>1231</v>
      </c>
      <c r="B17" s="5367"/>
      <c r="C17" s="4228"/>
      <c r="D17" s="4228"/>
    </row>
    <row r="18" spans="1:6" ht="15.75" thickBot="1">
      <c r="A18" s="4203"/>
      <c r="B18" s="4203"/>
      <c r="C18" s="4228"/>
      <c r="D18" s="4205" t="s">
        <v>248</v>
      </c>
    </row>
    <row r="19" spans="1:6" ht="51.75" customHeight="1" thickBot="1">
      <c r="A19" s="4206" t="s">
        <v>1232</v>
      </c>
      <c r="B19" s="4207" t="s">
        <v>250</v>
      </c>
      <c r="C19" s="4229" t="s">
        <v>251</v>
      </c>
      <c r="D19" s="4230" t="s">
        <v>1223</v>
      </c>
    </row>
    <row r="20" spans="1:6">
      <c r="A20" s="4210" t="s">
        <v>253</v>
      </c>
      <c r="B20" s="4211" t="s">
        <v>254</v>
      </c>
      <c r="C20" s="4231" t="s">
        <v>255</v>
      </c>
      <c r="D20" s="4232" t="s">
        <v>256</v>
      </c>
    </row>
    <row r="21" spans="1:6" ht="20.25" customHeight="1">
      <c r="A21" s="4217" t="s">
        <v>1233</v>
      </c>
      <c r="B21" s="4233">
        <v>20560000</v>
      </c>
      <c r="C21" s="4234">
        <v>20560000</v>
      </c>
      <c r="D21" s="4235">
        <f>C21/B21*100</f>
        <v>100</v>
      </c>
    </row>
    <row r="22" spans="1:6" ht="20.25" customHeight="1">
      <c r="A22" s="4236" t="s">
        <v>1234</v>
      </c>
      <c r="B22" s="4233">
        <v>12000000</v>
      </c>
      <c r="C22" s="4234">
        <v>12000000</v>
      </c>
      <c r="D22" s="4235">
        <f t="shared" ref="D22:D25" si="1">C22/B22*100</f>
        <v>100</v>
      </c>
    </row>
    <row r="23" spans="1:6" ht="20.25" customHeight="1">
      <c r="A23" s="4236" t="s">
        <v>1235</v>
      </c>
      <c r="B23" s="4233">
        <v>1000000</v>
      </c>
      <c r="C23" s="4234">
        <v>999999.6</v>
      </c>
      <c r="D23" s="4235">
        <f t="shared" si="1"/>
        <v>99.999960000000002</v>
      </c>
      <c r="F23" s="4220"/>
    </row>
    <row r="24" spans="1:6" ht="20.25" customHeight="1">
      <c r="A24" s="4236" t="s">
        <v>1236</v>
      </c>
      <c r="B24" s="4233">
        <v>155000000</v>
      </c>
      <c r="C24" s="4234">
        <v>155000000</v>
      </c>
      <c r="D24" s="4235">
        <f t="shared" si="1"/>
        <v>100</v>
      </c>
      <c r="F24" s="4237"/>
    </row>
    <row r="25" spans="1:6" ht="20.25" customHeight="1" thickBot="1">
      <c r="A25" s="4221" t="s">
        <v>1237</v>
      </c>
      <c r="B25" s="4233">
        <v>1653576</v>
      </c>
      <c r="C25" s="4234">
        <v>1816046.96</v>
      </c>
      <c r="D25" s="4235">
        <f t="shared" si="1"/>
        <v>109.82543046101299</v>
      </c>
    </row>
    <row r="26" spans="1:6" ht="24" customHeight="1" thickBot="1">
      <c r="A26" s="4206" t="s">
        <v>77</v>
      </c>
      <c r="B26" s="4226">
        <f>SUM(B21:B25)</f>
        <v>190213576</v>
      </c>
      <c r="C26" s="4238">
        <f>SUM(C21:C25)</f>
        <v>190376046.56</v>
      </c>
      <c r="D26" s="4227">
        <f>C26/B26*100</f>
        <v>100.08541480761603</v>
      </c>
    </row>
    <row r="96" ht="14.25" customHeight="1"/>
    <row r="331" spans="10:10">
      <c r="J331" s="4202" t="e">
        <f>G331/D331</f>
        <v>#DIV/0!</v>
      </c>
    </row>
  </sheetData>
  <mergeCells count="3">
    <mergeCell ref="A1:D2"/>
    <mergeCell ref="A4:B4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Strona &amp;P z &amp;N</oddFooter>
  </headerFooter>
  <rowBreaks count="1" manualBreakCount="1">
    <brk id="15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E3CDF-1CA0-4112-9E1C-0D929A7CF8B9}">
  <dimension ref="A1:K27"/>
  <sheetViews>
    <sheetView view="pageBreakPreview" zoomScaleNormal="75" zoomScaleSheetLayoutView="100" workbookViewId="0">
      <selection activeCell="K153" sqref="K153"/>
    </sheetView>
  </sheetViews>
  <sheetFormatPr defaultRowHeight="15"/>
  <cols>
    <col min="1" max="1" width="5.28515625" style="416" customWidth="1"/>
    <col min="2" max="2" width="8.5703125" style="416" customWidth="1"/>
    <col min="3" max="3" width="10.140625" style="416" customWidth="1"/>
    <col min="4" max="4" width="61" style="416" customWidth="1"/>
    <col min="5" max="5" width="14" style="416" customWidth="1"/>
    <col min="6" max="6" width="14.85546875" style="416" customWidth="1"/>
    <col min="7" max="7" width="13" style="416" customWidth="1"/>
    <col min="8" max="8" width="14.42578125" style="416" customWidth="1"/>
    <col min="9" max="16384" width="9.140625" style="416"/>
  </cols>
  <sheetData>
    <row r="1" spans="1:11" ht="47.25" customHeight="1">
      <c r="A1" s="415"/>
      <c r="B1" s="5376" t="s">
        <v>336</v>
      </c>
      <c r="C1" s="5376"/>
      <c r="D1" s="5376"/>
      <c r="E1" s="5376"/>
      <c r="F1" s="5376"/>
      <c r="G1" s="5376"/>
      <c r="H1" s="5376"/>
    </row>
    <row r="2" spans="1:11" ht="15.75" thickBot="1">
      <c r="A2" s="415"/>
      <c r="B2" s="417"/>
      <c r="C2" s="417"/>
      <c r="D2" s="418"/>
      <c r="E2" s="418"/>
      <c r="F2" s="418"/>
      <c r="G2" s="418"/>
      <c r="H2" s="419" t="s">
        <v>248</v>
      </c>
    </row>
    <row r="3" spans="1:11" ht="15.75" thickBot="1">
      <c r="A3" s="5377" t="s">
        <v>337</v>
      </c>
      <c r="B3" s="5378" t="s">
        <v>1</v>
      </c>
      <c r="C3" s="5378" t="s">
        <v>2</v>
      </c>
      <c r="D3" s="5374" t="s">
        <v>338</v>
      </c>
      <c r="E3" s="5378" t="s">
        <v>5</v>
      </c>
      <c r="F3" s="5378"/>
      <c r="G3" s="5378" t="s">
        <v>6</v>
      </c>
      <c r="H3" s="5378"/>
    </row>
    <row r="4" spans="1:11" ht="15.75" thickBot="1">
      <c r="A4" s="5377"/>
      <c r="B4" s="5378"/>
      <c r="C4" s="5378"/>
      <c r="D4" s="5374"/>
      <c r="E4" s="420" t="s">
        <v>339</v>
      </c>
      <c r="F4" s="421" t="s">
        <v>251</v>
      </c>
      <c r="G4" s="420" t="s">
        <v>339</v>
      </c>
      <c r="H4" s="421" t="s">
        <v>251</v>
      </c>
    </row>
    <row r="5" spans="1:11" ht="15.75" thickBot="1">
      <c r="A5" s="422">
        <v>1</v>
      </c>
      <c r="B5" s="423">
        <v>2</v>
      </c>
      <c r="C5" s="423">
        <v>3</v>
      </c>
      <c r="D5" s="424">
        <v>4</v>
      </c>
      <c r="E5" s="425">
        <v>5</v>
      </c>
      <c r="F5" s="423">
        <v>6</v>
      </c>
      <c r="G5" s="422">
        <v>7</v>
      </c>
      <c r="H5" s="423">
        <v>8</v>
      </c>
    </row>
    <row r="6" spans="1:11" ht="29.25" customHeight="1">
      <c r="A6" s="426">
        <v>1</v>
      </c>
      <c r="B6" s="427">
        <v>801</v>
      </c>
      <c r="C6" s="427">
        <v>80102</v>
      </c>
      <c r="D6" s="428" t="s">
        <v>340</v>
      </c>
      <c r="E6" s="429">
        <v>8520</v>
      </c>
      <c r="F6" s="430">
        <v>7900</v>
      </c>
      <c r="G6" s="429">
        <v>8520</v>
      </c>
      <c r="H6" s="431">
        <v>7900</v>
      </c>
    </row>
    <row r="7" spans="1:11" ht="25.5" customHeight="1">
      <c r="A7" s="432">
        <v>2</v>
      </c>
      <c r="B7" s="433">
        <v>801</v>
      </c>
      <c r="C7" s="433">
        <v>80102</v>
      </c>
      <c r="D7" s="434" t="s">
        <v>341</v>
      </c>
      <c r="E7" s="435">
        <v>3000</v>
      </c>
      <c r="F7" s="436">
        <v>1410.39</v>
      </c>
      <c r="G7" s="435">
        <v>3000</v>
      </c>
      <c r="H7" s="437">
        <v>1410.39</v>
      </c>
    </row>
    <row r="8" spans="1:11" ht="29.25" customHeight="1">
      <c r="A8" s="438">
        <v>3</v>
      </c>
      <c r="B8" s="439">
        <v>801</v>
      </c>
      <c r="C8" s="439">
        <v>80130</v>
      </c>
      <c r="D8" s="434" t="s">
        <v>342</v>
      </c>
      <c r="E8" s="435">
        <v>106131</v>
      </c>
      <c r="F8" s="436">
        <v>45665.22</v>
      </c>
      <c r="G8" s="435">
        <v>106131</v>
      </c>
      <c r="H8" s="437">
        <v>45401.81</v>
      </c>
    </row>
    <row r="9" spans="1:11" ht="30.75" customHeight="1">
      <c r="A9" s="440">
        <v>4</v>
      </c>
      <c r="B9" s="439">
        <v>801</v>
      </c>
      <c r="C9" s="439">
        <v>80130</v>
      </c>
      <c r="D9" s="434" t="s">
        <v>343</v>
      </c>
      <c r="E9" s="435">
        <v>26716</v>
      </c>
      <c r="F9" s="436">
        <v>22508.14</v>
      </c>
      <c r="G9" s="435">
        <v>26716</v>
      </c>
      <c r="H9" s="437">
        <v>22508.14</v>
      </c>
      <c r="I9" s="441"/>
      <c r="J9" s="442"/>
    </row>
    <row r="10" spans="1:11" ht="30.75" customHeight="1">
      <c r="A10" s="432">
        <v>5</v>
      </c>
      <c r="B10" s="439">
        <v>801</v>
      </c>
      <c r="C10" s="439">
        <v>80130</v>
      </c>
      <c r="D10" s="434" t="s">
        <v>344</v>
      </c>
      <c r="E10" s="435">
        <v>2000</v>
      </c>
      <c r="F10" s="436">
        <v>144.37</v>
      </c>
      <c r="G10" s="435">
        <v>2000</v>
      </c>
      <c r="H10" s="437">
        <v>144.37</v>
      </c>
    </row>
    <row r="11" spans="1:11" ht="30" customHeight="1">
      <c r="A11" s="440">
        <v>6</v>
      </c>
      <c r="B11" s="439">
        <v>801</v>
      </c>
      <c r="C11" s="439">
        <v>80130</v>
      </c>
      <c r="D11" s="434" t="s">
        <v>345</v>
      </c>
      <c r="E11" s="435">
        <v>44600</v>
      </c>
      <c r="F11" s="436">
        <v>15416.61</v>
      </c>
      <c r="G11" s="435">
        <v>44600</v>
      </c>
      <c r="H11" s="437">
        <v>15416.61</v>
      </c>
    </row>
    <row r="12" spans="1:11" ht="32.25" customHeight="1">
      <c r="A12" s="432">
        <v>7</v>
      </c>
      <c r="B12" s="439">
        <v>801</v>
      </c>
      <c r="C12" s="439">
        <v>80130</v>
      </c>
      <c r="D12" s="434" t="s">
        <v>346</v>
      </c>
      <c r="E12" s="435">
        <v>8000</v>
      </c>
      <c r="F12" s="436">
        <v>911.37</v>
      </c>
      <c r="G12" s="435">
        <v>8000</v>
      </c>
      <c r="H12" s="437">
        <v>911.37</v>
      </c>
    </row>
    <row r="13" spans="1:11" ht="21.75" customHeight="1">
      <c r="A13" s="440">
        <v>8</v>
      </c>
      <c r="B13" s="439">
        <v>801</v>
      </c>
      <c r="C13" s="439">
        <v>80130</v>
      </c>
      <c r="D13" s="5368" t="s">
        <v>347</v>
      </c>
      <c r="E13" s="443">
        <v>157907</v>
      </c>
      <c r="F13" s="436">
        <v>70544.14</v>
      </c>
      <c r="G13" s="443">
        <v>157907</v>
      </c>
      <c r="H13" s="444">
        <v>70544.14</v>
      </c>
    </row>
    <row r="14" spans="1:11" ht="21.75" customHeight="1">
      <c r="A14" s="445">
        <v>9</v>
      </c>
      <c r="B14" s="439">
        <v>854</v>
      </c>
      <c r="C14" s="439">
        <v>85410</v>
      </c>
      <c r="D14" s="5368"/>
      <c r="E14" s="443">
        <v>218700</v>
      </c>
      <c r="F14" s="436">
        <v>58498.48</v>
      </c>
      <c r="G14" s="443">
        <v>218700</v>
      </c>
      <c r="H14" s="444">
        <v>58498.48</v>
      </c>
    </row>
    <row r="15" spans="1:11" ht="18" customHeight="1">
      <c r="A15" s="432">
        <v>10</v>
      </c>
      <c r="B15" s="5369">
        <v>801</v>
      </c>
      <c r="C15" s="433">
        <v>80146</v>
      </c>
      <c r="D15" s="5371" t="s">
        <v>348</v>
      </c>
      <c r="E15" s="435">
        <v>1358175</v>
      </c>
      <c r="F15" s="436">
        <v>833219.16</v>
      </c>
      <c r="G15" s="435">
        <v>1358175</v>
      </c>
      <c r="H15" s="437">
        <v>833179.16</v>
      </c>
      <c r="J15" s="446"/>
      <c r="K15" s="446"/>
    </row>
    <row r="16" spans="1:11" ht="18" customHeight="1">
      <c r="A16" s="438">
        <v>11</v>
      </c>
      <c r="B16" s="5370"/>
      <c r="C16" s="433">
        <v>80147</v>
      </c>
      <c r="D16" s="5372"/>
      <c r="E16" s="435">
        <v>54000</v>
      </c>
      <c r="F16" s="436">
        <v>4060.39</v>
      </c>
      <c r="G16" s="435">
        <v>54000</v>
      </c>
      <c r="H16" s="437">
        <v>4060.19</v>
      </c>
      <c r="J16" s="446"/>
      <c r="K16" s="446"/>
    </row>
    <row r="17" spans="1:11" ht="18" customHeight="1">
      <c r="A17" s="438">
        <v>12</v>
      </c>
      <c r="B17" s="433">
        <v>854</v>
      </c>
      <c r="C17" s="433">
        <v>85417</v>
      </c>
      <c r="D17" s="5373"/>
      <c r="E17" s="435">
        <v>275849</v>
      </c>
      <c r="F17" s="436">
        <v>195502.95</v>
      </c>
      <c r="G17" s="435">
        <v>275849</v>
      </c>
      <c r="H17" s="437">
        <v>195502.95</v>
      </c>
      <c r="J17" s="446"/>
      <c r="K17" s="446"/>
    </row>
    <row r="18" spans="1:11" ht="25.5" customHeight="1">
      <c r="A18" s="440">
        <v>13</v>
      </c>
      <c r="B18" s="439">
        <v>801</v>
      </c>
      <c r="C18" s="439">
        <v>80147</v>
      </c>
      <c r="D18" s="434" t="s">
        <v>349</v>
      </c>
      <c r="E18" s="435">
        <v>17000</v>
      </c>
      <c r="F18" s="436">
        <v>15085.93</v>
      </c>
      <c r="G18" s="435">
        <v>17000</v>
      </c>
      <c r="H18" s="437">
        <v>15085.93</v>
      </c>
      <c r="J18" s="447"/>
      <c r="K18" s="447"/>
    </row>
    <row r="19" spans="1:11" ht="25.5" customHeight="1">
      <c r="A19" s="432">
        <v>14</v>
      </c>
      <c r="B19" s="439">
        <v>801</v>
      </c>
      <c r="C19" s="439">
        <v>80147</v>
      </c>
      <c r="D19" s="434" t="s">
        <v>350</v>
      </c>
      <c r="E19" s="435">
        <v>33600</v>
      </c>
      <c r="F19" s="436">
        <v>3737.63</v>
      </c>
      <c r="G19" s="435">
        <v>33600</v>
      </c>
      <c r="H19" s="437">
        <v>3734.73</v>
      </c>
    </row>
    <row r="20" spans="1:11" ht="25.5" customHeight="1">
      <c r="A20" s="432">
        <v>15</v>
      </c>
      <c r="B20" s="439">
        <v>801</v>
      </c>
      <c r="C20" s="439">
        <v>80147</v>
      </c>
      <c r="D20" s="434" t="s">
        <v>351</v>
      </c>
      <c r="E20" s="435">
        <v>200500</v>
      </c>
      <c r="F20" s="436">
        <v>159205.79999999999</v>
      </c>
      <c r="G20" s="435">
        <v>200500</v>
      </c>
      <c r="H20" s="437">
        <v>159205.79999999999</v>
      </c>
    </row>
    <row r="21" spans="1:11" ht="25.5" customHeight="1" thickBot="1">
      <c r="A21" s="432">
        <v>16</v>
      </c>
      <c r="B21" s="448">
        <v>801</v>
      </c>
      <c r="C21" s="448">
        <v>80147</v>
      </c>
      <c r="D21" s="449" t="s">
        <v>352</v>
      </c>
      <c r="E21" s="450">
        <v>36103</v>
      </c>
      <c r="F21" s="451">
        <v>15691.57</v>
      </c>
      <c r="G21" s="450">
        <v>36103</v>
      </c>
      <c r="H21" s="452">
        <v>15581.44</v>
      </c>
    </row>
    <row r="22" spans="1:11" ht="23.25" customHeight="1" thickBot="1">
      <c r="A22" s="5374" t="s">
        <v>353</v>
      </c>
      <c r="B22" s="5375"/>
      <c r="C22" s="5375"/>
      <c r="D22" s="5375"/>
      <c r="E22" s="453">
        <f>SUM(E6:E21)</f>
        <v>2550801</v>
      </c>
      <c r="F22" s="454">
        <f>SUM(F6:F21)</f>
        <v>1449502.15</v>
      </c>
      <c r="G22" s="453">
        <f>SUM(G6:G21)</f>
        <v>2550801</v>
      </c>
      <c r="H22" s="454">
        <f>SUM(H6:H21)</f>
        <v>1449085.5099999998</v>
      </c>
    </row>
    <row r="24" spans="1:11">
      <c r="E24" s="455"/>
      <c r="F24" s="456"/>
      <c r="G24" s="455"/>
      <c r="H24" s="455"/>
    </row>
    <row r="25" spans="1:11">
      <c r="D25" s="457"/>
      <c r="E25" s="458"/>
      <c r="F25" s="458"/>
      <c r="G25" s="458"/>
      <c r="H25" s="458"/>
    </row>
    <row r="26" spans="1:11">
      <c r="E26" s="458"/>
      <c r="F26" s="458"/>
      <c r="G26" s="458"/>
      <c r="H26" s="458"/>
    </row>
    <row r="27" spans="1:11">
      <c r="E27" s="459"/>
      <c r="F27" s="459"/>
      <c r="G27" s="459"/>
      <c r="H27" s="459"/>
    </row>
  </sheetData>
  <mergeCells count="11">
    <mergeCell ref="D13:D14"/>
    <mergeCell ref="B15:B16"/>
    <mergeCell ref="D15:D17"/>
    <mergeCell ref="A22:D22"/>
    <mergeCell ref="B1:H1"/>
    <mergeCell ref="A3:A4"/>
    <mergeCell ref="B3:B4"/>
    <mergeCell ref="C3:C4"/>
    <mergeCell ref="D3:D4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Strona &amp;P z &amp;N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15</vt:i4>
      </vt:variant>
    </vt:vector>
  </HeadingPairs>
  <TitlesOfParts>
    <vt:vector size="24" baseType="lpstr">
      <vt:lpstr>dochody</vt:lpstr>
      <vt:lpstr>wydatki</vt:lpstr>
      <vt:lpstr>adm.rząd.doch. </vt:lpstr>
      <vt:lpstr> adm.rzad.wyd.</vt:lpstr>
      <vt:lpstr>ustawy szczegół.</vt:lpstr>
      <vt:lpstr>dotacjena podst. porozumień</vt:lpstr>
      <vt:lpstr>dotacje udzielone innym jst2021</vt:lpstr>
      <vt:lpstr>przych i rozch.</vt:lpstr>
      <vt:lpstr>wyodrębniony rachunek</vt:lpstr>
      <vt:lpstr>' adm.rzad.wyd.'!Obszar_wydruku</vt:lpstr>
      <vt:lpstr>'adm.rząd.doch. '!Obszar_wydruku</vt:lpstr>
      <vt:lpstr>dochody!Obszar_wydruku</vt:lpstr>
      <vt:lpstr>'dotacje udzielone innym jst2021'!Obszar_wydruku</vt:lpstr>
      <vt:lpstr>'dotacjena podst. porozumień'!Obszar_wydruku</vt:lpstr>
      <vt:lpstr>'przych i rozch.'!Obszar_wydruku</vt:lpstr>
      <vt:lpstr>'ustawy szczegół.'!Obszar_wydruku</vt:lpstr>
      <vt:lpstr>wydatki!Obszar_wydruku</vt:lpstr>
      <vt:lpstr>'wyodrębniony rachunek'!Obszar_wydruku</vt:lpstr>
      <vt:lpstr>' adm.rzad.wyd.'!Tytuły_wydruku</vt:lpstr>
      <vt:lpstr>dochody!Tytuły_wydruku</vt:lpstr>
      <vt:lpstr>'dotacje udzielone innym jst2021'!Tytuły_wydruku</vt:lpstr>
      <vt:lpstr>'dotacjena podst. porozumień'!Tytuły_wydruku</vt:lpstr>
      <vt:lpstr>'ustawy szczegół.'!Tytuły_wydruku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 Maria</dc:creator>
  <cp:lastModifiedBy>Jachymczyk Magdalena</cp:lastModifiedBy>
  <cp:lastPrinted>2022-03-31T06:44:46Z</cp:lastPrinted>
  <dcterms:created xsi:type="dcterms:W3CDTF">2022-03-10T07:49:21Z</dcterms:created>
  <dcterms:modified xsi:type="dcterms:W3CDTF">2022-03-31T06:44:57Z</dcterms:modified>
</cp:coreProperties>
</file>